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0" sheetId="1" r:id="rId1"/>
  </sheets>
  <definedNames>
    <definedName name="_Date_">#REF!</definedName>
    <definedName name="_Otchet_Period_Source__AT_ObjectName">#REF!</definedName>
    <definedName name="_Period_">#REF!</definedName>
    <definedName name="Excel_BuiltIn_Print_Area" localSheetId="0">'Расходы 2020'!$A$1:$G$1070</definedName>
    <definedName name="Excel_BuiltIn_Print_Titles" localSheetId="0">'Расходы 2020'!$6:$6</definedName>
    <definedName name="_xlnm.Print_Titles" localSheetId="0">'Расходы 2020'!$6:$6</definedName>
    <definedName name="_xlnm.Print_Area" localSheetId="0">'Расходы 2020'!$A$1:$G$1070</definedName>
  </definedNames>
  <calcPr fullCalcOnLoad="1"/>
</workbook>
</file>

<file path=xl/sharedStrings.xml><?xml version="1.0" encoding="utf-8"?>
<sst xmlns="http://schemas.openxmlformats.org/spreadsheetml/2006/main" count="3229" uniqueCount="721">
  <si>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2020 год</t>
  </si>
  <si>
    <t>Наименование</t>
  </si>
  <si>
    <t>Раздел, подраз-дел</t>
  </si>
  <si>
    <t>Целевая статья</t>
  </si>
  <si>
    <t>Вид расхо-дов</t>
  </si>
  <si>
    <t>Утверждено на 2020 год</t>
  </si>
  <si>
    <t>Изменения (увеличение (+), уменьшение (-))</t>
  </si>
  <si>
    <t>Сумма на 2020 год с учетом изменений</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</si>
  <si>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</si>
  <si>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</si>
  <si>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</si>
  <si>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</si>
  <si>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</si>
  <si>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</si>
  <si>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</si>
  <si>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</si>
  <si>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</si>
  <si>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</si>
  <si>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</si>
  <si>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</si>
  <si>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</si>
  <si>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</si>
  <si>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</si>
  <si>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</si>
  <si>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</si>
  <si>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</si>
  <si>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</si>
  <si>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</si>
  <si>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</si>
  <si>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</si>
  <si>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</si>
  <si>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</si>
  <si>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</si>
  <si>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</si>
  <si>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</si>
  <si>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</si>
  <si>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t>
  </si>
  <si>
    <t>70 1 00 01000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</si>
  <si>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</si>
  <si>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</si>
  <si>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</si>
  <si>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</si>
  <si>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</si>
  <si>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</si>
  <si>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</si>
  <si>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</si>
  <si>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Обеспечение деятельности Комитета по материально-техническому обеспечению Администрации города Обнинска</t>
  </si>
  <si>
    <t>70 1 00 11005</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</si>
  <si>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</si>
  <si>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70 1 00 86060</t>
  </si>
  <si>
    <t>Расходы непрограммного характера за счет средств межбюджетных трансфертов, не включенные в другие направления расходов</t>
  </si>
  <si>
    <t>70 4 00 00000</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</si>
  <si>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t>
  </si>
  <si>
    <t>70 4 00 00155</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</si>
  <si>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</si>
  <si>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</si>
  <si>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</si>
  <si>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</si>
  <si>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</si>
  <si>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</si>
  <si>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</si>
  <si>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</si>
  <si>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</si>
  <si>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</si>
  <si>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</si>
  <si>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</si>
  <si>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</si>
  <si>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</si>
  <si>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</si>
  <si>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</si>
  <si>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70 3 00 13011</t>
  </si>
  <si>
    <t>Специальные расходы</t>
  </si>
  <si>
    <t>880</t>
  </si>
  <si>
    <t>Финансовое обеспечение части расходов по осуществлению деятельности избирательных комиссий при проведении выборов в представительные органы МО</t>
  </si>
  <si>
    <t>70 4 00 00156</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</si>
  <si>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</si>
  <si>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</si>
  <si>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</si>
  <si>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</si>
  <si>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</si>
  <si>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</si>
  <si>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</si>
  <si>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</si>
  <si>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</si>
  <si>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</si>
  <si>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</si>
  <si>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</si>
  <si>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</si>
  <si>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</si>
  <si>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</si>
  <si>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</si>
  <si>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</si>
  <si>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</si>
  <si>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</si>
  <si>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</si>
  <si>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</si>
  <si>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</si>
  <si>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Оказание услуг по транспортировке тел умерших в патологоанатомическое отделение</t>
  </si>
  <si>
    <t>09 5 02 10000</t>
  </si>
  <si>
    <t>Муниципальная программа «Развитие и модернизация объектов инженерной инфраструктуры города Обнинска»</t>
  </si>
  <si>
    <t>10 0 00 0000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</si>
  <si>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</si>
  <si>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</si>
  <si>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</si>
  <si>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</si>
  <si>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</si>
  <si>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</si>
  <si>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</si>
  <si>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</si>
  <si>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</si>
  <si>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</si>
  <si>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</si>
  <si>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</si>
  <si>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</si>
  <si>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</si>
  <si>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</si>
  <si>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</si>
  <si>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</si>
  <si>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</si>
  <si>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</si>
  <si>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</si>
  <si>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</si>
  <si>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</si>
  <si>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</si>
  <si>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</si>
  <si>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</si>
  <si>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</si>
  <si>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</si>
  <si>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</si>
  <si>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</si>
  <si>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Расходы за счет резервного фонда Администрации города Обнинска</t>
  </si>
  <si>
    <t>70 2 00 12003</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</si>
  <si>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</si>
  <si>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</si>
  <si>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</si>
  <si>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</si>
  <si>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</si>
  <si>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</si>
  <si>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</si>
  <si>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</si>
  <si>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Увеличение уставного фонда муниципального предприятия города Обнинска Калужской области "Оздоровительные бани"</t>
  </si>
  <si>
    <t>70 3 00 13014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</si>
  <si>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</si>
  <si>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Увеличение уставного фонда муниципального предприятия города Обнинска Калужской области "Обнинская типография"</t>
  </si>
  <si>
    <t>70 3 00 13016</t>
  </si>
  <si>
    <t>Обеспечение части расходов по подготовке и проведению выборов в представительный орган местного самоуправления муниципального образования "Город Обнинск"</t>
  </si>
  <si>
    <t>70 3 00 13018</t>
  </si>
  <si>
    <t>Обеспечение части расходов по подготовке и проведению общероссийского голосования по вопросу одобрения изменений в Конституцию Российской Федерации</t>
  </si>
  <si>
    <t>70 3 00 13020</t>
  </si>
  <si>
    <t>Оказание содействия избирательным комиссиям при подготовке и проведении общероссийского голосования по вопросу одобрения изменений в Конституцию Российской Федерации</t>
  </si>
  <si>
    <t>70 4 00 00152</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</si>
  <si>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</si>
  <si>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</si>
  <si>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</si>
  <si>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</si>
  <si>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</si>
  <si>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</si>
  <si>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Премии и гранты</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</si>
  <si>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</si>
  <si>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70 4 00 00560</t>
  </si>
  <si>
    <t>Осуществление государственных полномочий по проведению Всероссийской переписи населения 2020 года</t>
  </si>
  <si>
    <t>70 4 00 54690</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</si>
  <si>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</si>
  <si>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</si>
  <si>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</si>
  <si>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</si>
  <si>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</si>
  <si>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</si>
  <si>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</si>
  <si>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</si>
  <si>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</si>
  <si>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</si>
  <si>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</si>
  <si>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</si>
  <si>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</si>
  <si>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</si>
  <si>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</si>
  <si>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</si>
  <si>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 по решению органов местного самоуправления</t>
  </si>
  <si>
    <t>70 9 00 19008</t>
  </si>
  <si>
    <t>Расходы, связанные с организацией и проведением сельскохозяйственных ярмарок выходного дня в городе Обнинске</t>
  </si>
  <si>
    <t>70 9 00 19009</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</si>
  <si>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</si>
  <si>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</si>
  <si>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</si>
  <si>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</si>
  <si>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 за счет средств областного бюджета</t>
  </si>
  <si>
    <t>70 1 00 11110</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</si>
  <si>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</si>
  <si>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</si>
  <si>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гражданская оборона</t>
  </si>
  <si>
    <t>0309</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</si>
  <si>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</si>
  <si>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</si>
  <si>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</si>
  <si>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</si>
  <si>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</si>
  <si>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пожарной безопасности</t>
  </si>
  <si>
    <t>0310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</si>
  <si>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</si>
  <si>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</si>
  <si>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</si>
  <si>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</si>
  <si>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</si>
  <si>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</si>
  <si>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</si>
  <si>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</si>
  <si>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</si>
  <si>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</si>
  <si>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70 3 00 13012</t>
  </si>
  <si>
    <t>Дорожное хозяйство (дорожные фонды)</t>
  </si>
  <si>
    <t>0409</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</si>
  <si>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</si>
  <si>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</si>
  <si>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</si>
  <si>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</si>
  <si>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Устройство съездов с пешеходных тротуаров для маломобильных групп населения</t>
  </si>
  <si>
    <t>05 2 02 10000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</si>
  <si>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</si>
  <si>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</si>
  <si>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</si>
  <si>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</si>
  <si>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</si>
  <si>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</si>
  <si>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средств областного бюджета)</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</si>
  <si>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</si>
  <si>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</si>
  <si>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</si>
  <si>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</si>
  <si>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</si>
  <si>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</si>
  <si>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</si>
  <si>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Выполнение комплекса работ по ремонту автомобильных дорог (за счет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</si>
  <si>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</si>
  <si>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</si>
  <si>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</si>
  <si>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</si>
  <si>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</si>
  <si>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</si>
  <si>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</si>
  <si>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</si>
  <si>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</si>
  <si>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t>
  </si>
  <si>
    <t>06 0 R1 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</si>
  <si>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</si>
  <si>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 0 R1 L5000</t>
  </si>
  <si>
    <t>Связь и информатика</t>
  </si>
  <si>
    <t>0410</t>
  </si>
  <si>
    <t>Расходы за счет резервного фонда Администрации города Обнинска на предупреждение и ликвидацию чрезвычайных ситуаций и последствий стихийных бедствий</t>
  </si>
  <si>
    <t>70 2 00 12004</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</si>
  <si>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</si>
  <si>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</si>
  <si>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</si>
  <si>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</si>
  <si>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</si>
  <si>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</si>
  <si>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</si>
  <si>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</si>
  <si>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</si>
  <si>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</si>
  <si>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</si>
  <si>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</si>
  <si>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</si>
  <si>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</si>
  <si>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</si>
  <si>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</si>
  <si>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субъектам малого и среднего инновационного предпринимательства на компенсацию части затрат</t>
  </si>
  <si>
    <t>12 2 01 10000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</si>
  <si>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</si>
  <si>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</si>
  <si>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</si>
  <si>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</si>
  <si>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 за счет средств на поощрение муниципальных образований Калужской области - победителей регионального этапа конкурса "Лучшая муниципальная практика"</t>
  </si>
  <si>
    <t>12 2 05 00560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</si>
  <si>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</si>
  <si>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</si>
  <si>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</si>
  <si>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</si>
  <si>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</si>
  <si>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</si>
  <si>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Разработка проекта планировки и межевания территории на земельных участках, предоставляемых многодетным семьям г.Обнинска в районе поселения Спас-Загорье (Госсортучасток)</t>
  </si>
  <si>
    <t>13 2 04 S0150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</si>
  <si>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</si>
  <si>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</si>
  <si>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</si>
  <si>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</si>
  <si>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</si>
  <si>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</si>
  <si>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</si>
  <si>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</si>
  <si>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</si>
  <si>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</si>
  <si>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</si>
  <si>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</si>
  <si>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</si>
  <si>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</si>
  <si>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</si>
  <si>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Капитальный ремонт балконных плит в многоквартирных домах</t>
  </si>
  <si>
    <t>07 0 07 10000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</si>
  <si>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</si>
  <si>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</si>
  <si>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</si>
  <si>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</si>
  <si>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</si>
  <si>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</si>
  <si>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Муниципальная программа "Переселение граждан из аварийного жилищного фонда в муниципальном образовании "Город Обнинск"</t>
  </si>
  <si>
    <t>14 0 00 00000</t>
  </si>
  <si>
    <t>Проектирование и строительство многоквартирного жилого дома или приобретение жилых помещений</t>
  </si>
  <si>
    <t>14 0 01 10000</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</si>
  <si>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Фонда содействия реформированию жилищно-коммунального хозяйства</t>
  </si>
  <si>
    <t>14 0 F3 67483</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</si>
  <si>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областного бюджета</t>
  </si>
  <si>
    <t>14 0 F3 67484</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</si>
  <si>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местного бюджета</t>
  </si>
  <si>
    <t>14 0 F3 6748S</t>
  </si>
  <si>
    <t>Увеличение уставного фонда муниципального предприятия города Обнинска Калужской области "Управление жилищно-коммунального хозяйства"</t>
  </si>
  <si>
    <t>70 3 00 13019</t>
  </si>
  <si>
    <t>Коммунальное хозяйство</t>
  </si>
  <si>
    <t>0502</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</si>
  <si>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</si>
  <si>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</si>
  <si>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</si>
  <si>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</si>
  <si>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</si>
  <si>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10 0 00 00000</t>
  </si>
  <si>
    <t xml:space="preserve">Строительство объекта: "Городской магистральный напорный хозфекальный коллектор и КНС-51 в г.Обнинске Калужской области" </t>
  </si>
  <si>
    <t>10 0 05 10000</t>
  </si>
  <si>
    <t>Строительство очистных сооружений ливневых стоков в районе промзоны Мишково</t>
  </si>
  <si>
    <t>10 0 06 10000</t>
  </si>
  <si>
    <t>Строительство очистных сооружений магистрального ливневого коллектора в районе ЖК "Зайцево"</t>
  </si>
  <si>
    <t>10 0 07 10000</t>
  </si>
  <si>
    <t>Строительство канализационно-насосной станции с двумя напорными коллекторами в районе ул. Пирогова</t>
  </si>
  <si>
    <t>10 0 08 10000</t>
  </si>
  <si>
    <t>Реализация проекта "Трасса Северного водовода от Вашутинского водозабора до города Обнинска, пр-т Маркса, ВК 874"</t>
  </si>
  <si>
    <t>10 0 11 00150</t>
  </si>
  <si>
    <t>Строительство очистных сооружений магистрального ливневого коллектора в районе жилого комплекса "Зайцево" (в рамках реализации федерального проекта "Жилье" национального проекта "Жилье и городская среда")</t>
  </si>
  <si>
    <t>10 0 F1 50212</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</si>
  <si>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</si>
  <si>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</si>
  <si>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Строительство очистных сооружений магистрального ливневого коллектора в районе ЖК "Зайцево" (в рамках реализации федерального проекта "Жилье" национального проекта "Жилье и городская среда")</t>
  </si>
  <si>
    <t>10 0 F1 50217</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</si>
  <si>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</si>
  <si>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</si>
  <si>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</si>
  <si>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</si>
  <si>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</si>
  <si>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</si>
  <si>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</si>
  <si>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</si>
  <si>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</si>
  <si>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</si>
  <si>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</si>
  <si>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</si>
  <si>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</si>
  <si>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</si>
  <si>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</si>
  <si>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</si>
  <si>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</si>
  <si>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</si>
  <si>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</si>
  <si>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</si>
  <si>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</si>
  <si>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</si>
  <si>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</si>
  <si>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</si>
  <si>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</si>
  <si>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</si>
  <si>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</si>
  <si>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</si>
  <si>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</si>
  <si>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</si>
  <si>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</si>
  <si>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</si>
  <si>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</si>
  <si>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за счет средств областного бюджета</t>
  </si>
  <si>
    <t>15 0 01 S5551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</si>
  <si>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</si>
  <si>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</si>
  <si>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</si>
  <si>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85551</t>
  </si>
  <si>
    <t>Увеличение уставного фонда муниципального предприятия города Обнинска Калужской области "Коммунальное хозяйство"</t>
  </si>
  <si>
    <t>70 3 00 13013</t>
  </si>
  <si>
    <t>Премирование муниципальных образований - победителей Всероссийского конкурса "Лучшая муниципальная практика"</t>
  </si>
  <si>
    <t>70 4 00 53990</t>
  </si>
  <si>
    <t>Премирование муниципальных образований - победителей Всероссийского конкурса "Лучшая муниципальная практика" за счет средств резервного фонда Президента РФ</t>
  </si>
  <si>
    <t>70 4 00 5399R</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</si>
  <si>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</si>
  <si>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</si>
  <si>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</si>
  <si>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</si>
  <si>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</si>
  <si>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</si>
  <si>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Разработка проектной документации и строительство канализационно-насосной станции с двумя напорными коллекторами в районе ул.Пирогова</t>
  </si>
  <si>
    <t>400</t>
  </si>
  <si>
    <t>410</t>
  </si>
  <si>
    <t>Строительство канализационно-насосной станции с двумя напорными коллекторами в районе ул. Пирогова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</si>
  <si>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08 L5250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</si>
  <si>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</si>
  <si>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</si>
  <si>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</si>
  <si>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</si>
  <si>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</si>
  <si>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</si>
  <si>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</si>
  <si>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</si>
  <si>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</si>
  <si>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</si>
  <si>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</si>
  <si>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</si>
  <si>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</si>
  <si>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</si>
  <si>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</si>
  <si>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</si>
  <si>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Создание дополнительных мест в детских дошкольных учреждениях</t>
  </si>
  <si>
    <t>01 1 08 10000</t>
  </si>
  <si>
    <t>Создание дополнительных мест в детских дошкольных учреждениях (строительство, реконструкция,капитальный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</si>
  <si>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16051</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</si>
  <si>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</si>
  <si>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</si>
  <si>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</si>
  <si>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 1 P2 52321</t>
  </si>
  <si>
    <t>Создание дополнительных мест в детских дошкольных учреждениях (создание дополнительных мест для детей в возрасте от 1,5 до 3 лет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</si>
  <si>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 1 P2 52530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</si>
  <si>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</si>
  <si>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</si>
  <si>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</si>
  <si>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</si>
  <si>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</si>
  <si>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</si>
  <si>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</si>
  <si>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</si>
  <si>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</si>
  <si>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</si>
  <si>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</si>
  <si>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</si>
  <si>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</si>
  <si>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</si>
  <si>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</si>
  <si>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</si>
  <si>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</si>
  <si>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</si>
  <si>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Укрепление материально-технической базы общеобразовательных учреждений (ремонт зданий (помещений) в общеобразовательных организациях в рамках федерального проекта "Современная школа" национального проекта "Образование")</t>
  </si>
  <si>
    <t>01 2 E1 16112</t>
  </si>
  <si>
    <t>Укрепление материально-технической базы общеобразовательных учреждений (создание современной образовательной среды, обеспечивающей качество образования в рамках федерального проекта "Современная школа" национального проекта "Образование")</t>
  </si>
  <si>
    <t>01 2 E1 16113</t>
  </si>
  <si>
    <t>Создание дополнительных мест в общеобразовательных организациях (в рамках федерального проекта "Современная школа" национального проекта "Образование")</t>
  </si>
  <si>
    <t>01 2 E1 55202</t>
  </si>
  <si>
    <t>Создание дополнительных мест в общеобразовательных организациях (строительство (реконструкция) объектов социальной инфраструктуры в рамках реализации федерального проекта "Жилье" национального проекта "Жилье и городская среда")</t>
  </si>
  <si>
    <t>01 2 F1 50213</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</si>
  <si>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</si>
  <si>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</si>
  <si>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</si>
  <si>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</si>
  <si>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01 3 01 L3040</t>
  </si>
  <si>
    <t>Подпрограмма "Создание условий для развития системы образования города Обнинска"</t>
  </si>
  <si>
    <t>01 7 00 00000</t>
  </si>
  <si>
    <t>Создание и развитие на территории города Обнинска распределенного детского технологического парка</t>
  </si>
  <si>
    <t>01 7 06 L5250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</si>
  <si>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</si>
  <si>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</si>
  <si>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</si>
  <si>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</si>
  <si>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</si>
  <si>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</si>
  <si>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</si>
  <si>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</si>
  <si>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Создание детского технопарка "Кванториум" за счет средств областного бюджета</t>
  </si>
  <si>
    <t>01 5 05 00150</t>
  </si>
  <si>
    <t>Создание детского технопарка "Кванториум"</t>
  </si>
  <si>
    <t>01 5 05 10000</t>
  </si>
  <si>
    <t>Создание детского технопарка "Кванториум" (создание современной образовательной среды, обеспечивающей качество дополнительного образования детей, в рамках федерального проекта "Успех каждого ребенка" национального проекта "Образование")</t>
  </si>
  <si>
    <t>01 5 E2 16201</t>
  </si>
  <si>
    <t>01 5 E2 16202</t>
  </si>
  <si>
    <t>Создание детского технопарка "Кванториум" (в рамках федерального проекта "Успех каждого ребенка" национального проекта "Образование")</t>
  </si>
  <si>
    <t>01 5 E2 51730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</si>
  <si>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</si>
  <si>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</si>
  <si>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</si>
  <si>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</si>
  <si>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</si>
  <si>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</si>
  <si>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</si>
  <si>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</si>
  <si>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</si>
  <si>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</si>
  <si>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</si>
  <si>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</si>
  <si>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</si>
  <si>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</si>
  <si>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</si>
  <si>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</si>
  <si>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</si>
  <si>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</si>
  <si>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</si>
  <si>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</si>
  <si>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</si>
  <si>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</si>
  <si>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</si>
  <si>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</si>
  <si>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</si>
  <si>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</si>
  <si>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</si>
  <si>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</si>
  <si>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</si>
  <si>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</si>
  <si>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</si>
  <si>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</si>
  <si>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</si>
  <si>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</si>
  <si>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</si>
  <si>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</si>
  <si>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</si>
  <si>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</si>
  <si>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</si>
  <si>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</si>
  <si>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</si>
  <si>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</si>
  <si>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</si>
  <si>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</si>
  <si>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</si>
  <si>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</si>
  <si>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</si>
  <si>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</si>
  <si>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</si>
  <si>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</si>
  <si>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</si>
  <si>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</si>
  <si>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</si>
  <si>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Проведение ремонтов, благоустройства, укрепление и совершенствование материально-технической базы муниципальных учреждений культуры (за счет средств субсидии на обеспечение финансовой устойчивости муниципальных образований Калужской области)</t>
  </si>
  <si>
    <t>02 1 03 S0250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</si>
  <si>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</si>
  <si>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</si>
  <si>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</si>
  <si>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</si>
  <si>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 (за счет средств областного бюджета)</t>
  </si>
  <si>
    <t>02 1 07 00270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</si>
  <si>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</si>
  <si>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</si>
  <si>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</si>
  <si>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</si>
  <si>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</si>
  <si>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</si>
  <si>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</si>
  <si>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</si>
  <si>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</si>
  <si>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</si>
  <si>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</si>
  <si>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</si>
  <si>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</si>
  <si>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</si>
  <si>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</si>
  <si>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</si>
  <si>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</si>
  <si>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</si>
  <si>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работы клубных формирований для пожилых граждан и инвалидов</t>
  </si>
  <si>
    <t>05 2 06 10000</t>
  </si>
  <si>
    <t>Увеличение уставного фонда муниципального предприятия города Обнинска Калужской области "Дом ученых"</t>
  </si>
  <si>
    <t>70 3 00 13017</t>
  </si>
  <si>
    <t>Кинематография</t>
  </si>
  <si>
    <t>0802</t>
  </si>
  <si>
    <t>Организация киновидеопоказа и досуговых мероприятий</t>
  </si>
  <si>
    <t>02 1 04 10000</t>
  </si>
  <si>
    <t>Увеличение уставного фонда муниципального предприятия города Обнинска Калужской области "Кинотеатр "Мир"</t>
  </si>
  <si>
    <t>70 3 00 13015</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</si>
  <si>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</si>
  <si>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</si>
  <si>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</si>
  <si>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</si>
  <si>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</si>
  <si>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</si>
  <si>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</si>
  <si>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</si>
  <si>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</si>
  <si>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</si>
  <si>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</si>
  <si>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</si>
  <si>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</si>
  <si>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</si>
  <si>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</si>
  <si>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</si>
  <si>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</si>
  <si>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</si>
  <si>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</si>
  <si>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</si>
  <si>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</si>
  <si>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</si>
  <si>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</si>
  <si>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</si>
  <si>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</si>
  <si>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</si>
  <si>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</si>
  <si>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</si>
  <si>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</si>
  <si>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</si>
  <si>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</si>
  <si>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</si>
  <si>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</si>
  <si>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</si>
  <si>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</si>
  <si>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</si>
  <si>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</si>
  <si>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</si>
  <si>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</si>
  <si>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</si>
  <si>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</si>
  <si>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</si>
  <si>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</si>
  <si>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</si>
  <si>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</si>
  <si>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</si>
  <si>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</si>
  <si>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</si>
  <si>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</si>
  <si>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</si>
  <si>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</si>
  <si>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</si>
  <si>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</si>
  <si>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</si>
  <si>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</si>
  <si>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</si>
  <si>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</si>
  <si>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</si>
  <si>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</si>
  <si>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</si>
  <si>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</si>
  <si>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</si>
  <si>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</si>
  <si>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</si>
  <si>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</si>
  <si>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</si>
  <si>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</si>
  <si>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</si>
  <si>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</si>
  <si>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</si>
  <si>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</si>
  <si>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</si>
  <si>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</si>
  <si>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</si>
  <si>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</si>
  <si>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</si>
  <si>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за счет средств резервного фонда Правительства Российской Федерации</t>
  </si>
  <si>
    <t>05 1 10 5380F</t>
  </si>
  <si>
    <t>Осуществление ежемесячных выплат на детей в возрасте от трех до семи лет включительно</t>
  </si>
  <si>
    <t>05 1 24 R3020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</si>
  <si>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</si>
  <si>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 1 24 R302F</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</si>
  <si>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</si>
  <si>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</si>
  <si>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</si>
  <si>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</si>
  <si>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</si>
  <si>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</si>
  <si>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</si>
  <si>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</si>
  <si>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</si>
  <si>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</si>
  <si>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</si>
  <si>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</si>
  <si>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</si>
  <si>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</si>
  <si>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 xml:space="preserve">Предоставление банных услуг отдельным категориям граждан </t>
  </si>
  <si>
    <t>05 1 20 10000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</si>
  <si>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</si>
  <si>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</si>
  <si>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</si>
  <si>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</si>
  <si>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</si>
  <si>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</si>
  <si>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</si>
  <si>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</si>
  <si>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</si>
  <si>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</si>
  <si>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</si>
  <si>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</si>
  <si>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</si>
  <si>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</si>
  <si>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</si>
  <si>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</si>
  <si>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</si>
  <si>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</si>
  <si>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Реализация мероприятий, включенных в федеральную целевую программу "Развитие физической культуры и спорта в Российской Федерации на 2016 - 2020 годы" (в рамках федерального проекта "Спорт - норма жизни" национального проекта "Демография")</t>
  </si>
  <si>
    <t>04 0 P5 54950</t>
  </si>
  <si>
    <t>Спорт высших достижений</t>
  </si>
  <si>
    <t>1103</t>
  </si>
  <si>
    <t xml:space="preserve">Осуществление спортивной деятельности по классическому и пляжному волейболу </t>
  </si>
  <si>
    <t>04 0 03 10000</t>
  </si>
  <si>
    <t>Осуществление спортивной деятельности по классическому и пляжному волейболу (за счет средств субсидии на обеспечение финансовой устойчивости муниципальных образований Калужской области)</t>
  </si>
  <si>
    <t>Другие вопросы в области физической культуры и спорта</t>
  </si>
  <si>
    <t>1105</t>
  </si>
  <si>
    <t>Организация и проведение памятного юбилейного мероприятия, направленного на популяризацию волейбола и спорта</t>
  </si>
  <si>
    <t>70 4 00 00151</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</si>
  <si>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</si>
  <si>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</si>
  <si>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</si>
  <si>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</si>
  <si>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</si>
  <si>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</si>
  <si>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</si>
  <si>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</si>
  <si>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</si>
  <si>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</si>
  <si>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</si>
  <si>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</si>
  <si>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</si>
  <si>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</si>
  <si>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</si>
  <si>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</si>
  <si>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</si>
  <si>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</si>
  <si>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</si>
  <si>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</si>
  <si>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</si>
  <si>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</si>
  <si>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</si>
  <si>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</si>
  <si>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</si>
  <si>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</si>
  <si>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</si>
  <si>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</si>
  <si>
    <t xml:space="preserve">Приложение № 1 к решению Обнинского городского Собрания "О внесении изменений в решение Обнинского городского Собрания от 10.12.2019 № 01-60 "О бюджете города Обнинска на 2020 год и плановый период 2021 и 2022 годов"                                                     </t>
  </si>
  <si>
    <t>от 29.12.2020 № 02-09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</si>
</sst>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i/>
      <sz val="10"/>
      <name val="Arial Cyr"/>
      <family val="0"/>
    </font>
    <font>
      <sz val="10"/>
      <name val="Times New Roman"/>
      <family val="1"/>
    </font>
    <font>
      <b/>
      <sz val="12"/>
      <color indexed="8"/>
      <name val="Times New Roman"/>
      <family val="1"/>
    </font>
    <font>
      <b/>
      <sz val="12.5"/>
      <name val="Times New Roman"/>
      <family val="1"/>
    </font>
    <font>
      <sz val="12.5"/>
      <name val="Times New Roman"/>
      <family val="1"/>
    </font>
    <font>
      <b/>
      <i/>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1" fillId="44" borderId="22" applyNumberFormat="0" applyAlignment="0" applyProtection="0"/>
    <xf numFmtId="0" fontId="52" fillId="45" borderId="23" applyNumberFormat="0" applyAlignment="0" applyProtection="0"/>
    <xf numFmtId="0" fontId="53"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4" fillId="0" borderId="24" applyNumberFormat="0" applyFill="0" applyAlignment="0" applyProtection="0"/>
    <xf numFmtId="0" fontId="55" fillId="0" borderId="25" applyNumberFormat="0" applyFill="0" applyAlignment="0" applyProtection="0"/>
    <xf numFmtId="0" fontId="56" fillId="0" borderId="26" applyNumberFormat="0" applyFill="0" applyAlignment="0" applyProtection="0"/>
    <xf numFmtId="0" fontId="56" fillId="0" borderId="0" applyNumberFormat="0" applyFill="0" applyBorder="0" applyAlignment="0" applyProtection="0"/>
    <xf numFmtId="0" fontId="57" fillId="0" borderId="27" applyNumberFormat="0" applyFill="0" applyAlignment="0" applyProtection="0"/>
    <xf numFmtId="0" fontId="58" fillId="46" borderId="28" applyNumberFormat="0" applyAlignment="0" applyProtection="0"/>
    <xf numFmtId="0" fontId="59" fillId="0" borderId="0" applyNumberFormat="0" applyFill="0" applyBorder="0" applyAlignment="0" applyProtection="0"/>
    <xf numFmtId="0" fontId="60" fillId="47" borderId="0" applyNumberFormat="0" applyBorder="0" applyAlignment="0" applyProtection="0"/>
    <xf numFmtId="0" fontId="0" fillId="34" borderId="0">
      <alignment/>
      <protection/>
    </xf>
    <xf numFmtId="0" fontId="1" fillId="34" borderId="0">
      <alignment/>
      <protection/>
    </xf>
    <xf numFmtId="0" fontId="61" fillId="48" borderId="0" applyNumberFormat="0" applyBorder="0" applyAlignment="0" applyProtection="0"/>
    <xf numFmtId="0" fontId="62"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3" fillId="0" borderId="30" applyNumberFormat="0" applyFill="0" applyAlignment="0" applyProtection="0"/>
    <xf numFmtId="0" fontId="6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5" fillId="50" borderId="0" applyNumberFormat="0" applyBorder="0" applyAlignment="0" applyProtection="0"/>
  </cellStyleXfs>
  <cellXfs count="81">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26" fillId="0" borderId="0" xfId="0" applyFont="1" applyFill="1" applyAlignment="1">
      <alignment horizontal="right"/>
    </xf>
    <xf numFmtId="0" fontId="0" fillId="0" borderId="0" xfId="0" applyFill="1" applyAlignment="1">
      <alignment horizontal="left"/>
    </xf>
    <xf numFmtId="0" fontId="26" fillId="0" borderId="0" xfId="0" applyFont="1" applyFill="1" applyAlignment="1">
      <alignment horizontal="left"/>
    </xf>
    <xf numFmtId="0" fontId="27" fillId="0" borderId="0" xfId="0" applyFont="1" applyFill="1" applyAlignment="1">
      <alignment wrapText="1"/>
    </xf>
    <xf numFmtId="0" fontId="26" fillId="0" borderId="0" xfId="0" applyFont="1" applyFill="1" applyAlignment="1">
      <alignment horizontal="center"/>
    </xf>
    <xf numFmtId="0" fontId="26" fillId="0" borderId="0" xfId="0" applyFont="1" applyFill="1" applyAlignment="1">
      <alignment/>
    </xf>
    <xf numFmtId="0" fontId="26" fillId="0" borderId="0" xfId="0" applyFont="1" applyFill="1" applyAlignment="1">
      <alignment/>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0" borderId="0" xfId="0" applyFont="1" applyFill="1" applyAlignment="1">
      <alignment horizontal="left"/>
    </xf>
    <xf numFmtId="49" fontId="29" fillId="0" borderId="11" xfId="0" applyNumberFormat="1" applyFont="1" applyFill="1" applyBorder="1" applyAlignment="1">
      <alignment horizontal="left" wrapText="1"/>
    </xf>
    <xf numFmtId="49" fontId="29" fillId="0" borderId="11" xfId="0" applyNumberFormat="1" applyFont="1" applyFill="1" applyBorder="1" applyAlignment="1">
      <alignment horizontal="center" wrapText="1"/>
    </xf>
    <xf numFmtId="4" fontId="29" fillId="0" borderId="11" xfId="0" applyNumberFormat="1" applyFont="1" applyFill="1" applyBorder="1" applyAlignment="1">
      <alignment/>
    </xf>
    <xf numFmtId="49" fontId="32" fillId="0" borderId="11" xfId="0" applyNumberFormat="1" applyFont="1" applyFill="1" applyBorder="1" applyAlignment="1">
      <alignment horizontal="left" wrapText="1"/>
    </xf>
    <xf numFmtId="49" fontId="32"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32" fillId="0" borderId="11" xfId="0" applyNumberFormat="1" applyFont="1" applyFill="1" applyBorder="1" applyAlignment="1">
      <alignment wrapText="1"/>
    </xf>
    <xf numFmtId="4" fontId="32" fillId="0" borderId="11" xfId="0" applyNumberFormat="1" applyFont="1" applyFill="1" applyBorder="1" applyAlignment="1">
      <alignment/>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wrapText="1"/>
    </xf>
    <xf numFmtId="4" fontId="26" fillId="0" borderId="11" xfId="0" applyNumberFormat="1" applyFont="1" applyFill="1" applyBorder="1" applyAlignment="1">
      <alignment wrapText="1"/>
    </xf>
    <xf numFmtId="4" fontId="26" fillId="0" borderId="11" xfId="0" applyNumberFormat="1" applyFont="1" applyFill="1" applyBorder="1" applyAlignment="1">
      <alignment/>
    </xf>
    <xf numFmtId="0" fontId="26" fillId="0" borderId="11" xfId="0" applyFont="1" applyFill="1" applyBorder="1" applyAlignment="1">
      <alignment horizontal="left" wrapText="1"/>
    </xf>
    <xf numFmtId="0" fontId="31" fillId="0" borderId="0" xfId="0" applyFont="1" applyFill="1" applyAlignment="1">
      <alignment horizontal="right"/>
    </xf>
    <xf numFmtId="49" fontId="26" fillId="0" borderId="11" xfId="0" applyNumberFormat="1" applyFont="1" applyFill="1" applyBorder="1" applyAlignment="1">
      <alignment horizontal="left" wrapText="1"/>
    </xf>
    <xf numFmtId="4" fontId="26" fillId="0" borderId="11" xfId="0" applyNumberFormat="1" applyFont="1" applyFill="1" applyBorder="1" applyAlignment="1">
      <alignment horizontal="right" wrapText="1"/>
    </xf>
    <xf numFmtId="0" fontId="33" fillId="0" borderId="11" xfId="0" applyFont="1" applyFill="1" applyBorder="1" applyAlignment="1">
      <alignment horizontal="left" wrapText="1"/>
    </xf>
    <xf numFmtId="4" fontId="31" fillId="0" borderId="0" xfId="0" applyNumberFormat="1" applyFont="1" applyFill="1" applyAlignment="1">
      <alignment horizontal="left"/>
    </xf>
    <xf numFmtId="0" fontId="0" fillId="0" borderId="0" xfId="0" applyFont="1" applyFill="1" applyAlignment="1">
      <alignment horizontal="left"/>
    </xf>
    <xf numFmtId="0" fontId="34" fillId="0" borderId="11" xfId="0" applyFont="1" applyFill="1" applyBorder="1" applyAlignment="1">
      <alignment horizontal="left" wrapText="1"/>
    </xf>
    <xf numFmtId="0" fontId="32" fillId="0" borderId="11" xfId="0" applyFont="1" applyFill="1" applyBorder="1" applyAlignment="1">
      <alignment horizontal="center" wrapText="1"/>
    </xf>
    <xf numFmtId="0" fontId="33" fillId="0" borderId="31" xfId="0" applyFont="1" applyFill="1" applyBorder="1" applyAlignment="1">
      <alignment horizontal="left" wrapText="1"/>
    </xf>
    <xf numFmtId="0" fontId="26" fillId="0" borderId="31" xfId="0" applyFont="1" applyFill="1" applyBorder="1" applyAlignment="1">
      <alignment horizontal="center" wrapText="1"/>
    </xf>
    <xf numFmtId="49" fontId="26" fillId="0" borderId="31" xfId="0" applyNumberFormat="1" applyFont="1" applyFill="1" applyBorder="1" applyAlignment="1">
      <alignment horizontal="center" wrapText="1"/>
    </xf>
    <xf numFmtId="4" fontId="26" fillId="0" borderId="31" xfId="0" applyNumberFormat="1" applyFont="1" applyFill="1" applyBorder="1" applyAlignment="1">
      <alignment wrapText="1"/>
    </xf>
    <xf numFmtId="0" fontId="34" fillId="0" borderId="31" xfId="98" applyNumberFormat="1" applyFont="1" applyFill="1" applyBorder="1" applyAlignment="1" applyProtection="1">
      <alignment wrapText="1"/>
      <protection/>
    </xf>
    <xf numFmtId="49" fontId="34" fillId="0" borderId="31" xfId="89" applyFont="1" applyFill="1" applyBorder="1" applyAlignment="1" applyProtection="1">
      <alignment horizontal="center" shrinkToFit="1"/>
      <protection/>
    </xf>
    <xf numFmtId="4" fontId="32" fillId="0" borderId="31" xfId="0" applyNumberFormat="1" applyFont="1" applyFill="1" applyBorder="1" applyAlignment="1">
      <alignment wrapText="1"/>
    </xf>
    <xf numFmtId="0" fontId="33" fillId="0" borderId="11" xfId="98" applyNumberFormat="1" applyFont="1" applyFill="1" applyAlignment="1" applyProtection="1">
      <alignment wrapText="1"/>
      <protection/>
    </xf>
    <xf numFmtId="49" fontId="33" fillId="0" borderId="11" xfId="89" applyFont="1" applyFill="1" applyAlignment="1" applyProtection="1">
      <alignment horizontal="center" shrinkToFit="1"/>
      <protection/>
    </xf>
    <xf numFmtId="49" fontId="30" fillId="0" borderId="11" xfId="0" applyNumberFormat="1" applyFont="1" applyFill="1" applyBorder="1" applyAlignment="1">
      <alignment horizontal="center" wrapText="1"/>
    </xf>
    <xf numFmtId="49" fontId="26" fillId="0" borderId="11" xfId="0" applyNumberFormat="1" applyFont="1" applyFill="1" applyBorder="1" applyAlignment="1">
      <alignment horizontal="center"/>
    </xf>
    <xf numFmtId="0" fontId="26" fillId="0" borderId="11" xfId="0" applyFont="1" applyFill="1" applyBorder="1" applyAlignment="1">
      <alignment wrapText="1"/>
    </xf>
    <xf numFmtId="0" fontId="33" fillId="0" borderId="11" xfId="130" applyFont="1" applyFill="1" applyBorder="1" applyAlignment="1">
      <alignment horizontal="left" vertical="top" wrapText="1"/>
      <protection/>
    </xf>
    <xf numFmtId="4" fontId="26" fillId="0" borderId="32" xfId="0" applyNumberFormat="1" applyFont="1" applyFill="1" applyBorder="1" applyAlignment="1">
      <alignment horizontal="right" wrapText="1"/>
    </xf>
    <xf numFmtId="0" fontId="35" fillId="0" borderId="0" xfId="0" applyFont="1" applyFill="1" applyAlignment="1">
      <alignment horizontal="left"/>
    </xf>
    <xf numFmtId="4" fontId="29" fillId="0" borderId="11" xfId="0" applyNumberFormat="1" applyFont="1" applyFill="1" applyBorder="1" applyAlignment="1">
      <alignment wrapText="1"/>
    </xf>
    <xf numFmtId="49" fontId="32" fillId="0" borderId="11" xfId="0" applyNumberFormat="1" applyFont="1" applyFill="1" applyBorder="1" applyAlignment="1">
      <alignment horizontal="center"/>
    </xf>
    <xf numFmtId="0" fontId="26" fillId="0" borderId="11" xfId="0" applyFont="1" applyFill="1" applyBorder="1" applyAlignment="1">
      <alignment horizontal="left"/>
    </xf>
    <xf numFmtId="0" fontId="26" fillId="0" borderId="21" xfId="0" applyFont="1" applyFill="1" applyBorder="1" applyAlignment="1">
      <alignment horizontal="left" wrapText="1"/>
    </xf>
    <xf numFmtId="49" fontId="26" fillId="0" borderId="21" xfId="0" applyNumberFormat="1" applyFont="1" applyFill="1" applyBorder="1" applyAlignment="1">
      <alignment horizontal="center"/>
    </xf>
    <xf numFmtId="49" fontId="26" fillId="0" borderId="21" xfId="0" applyNumberFormat="1" applyFont="1" applyFill="1" applyBorder="1" applyAlignment="1">
      <alignment horizontal="center" wrapText="1"/>
    </xf>
    <xf numFmtId="0" fontId="26" fillId="0" borderId="21" xfId="0" applyFont="1" applyFill="1" applyBorder="1" applyAlignment="1">
      <alignment horizontal="center" wrapText="1"/>
    </xf>
    <xf numFmtId="4" fontId="26" fillId="0" borderId="21" xfId="0" applyNumberFormat="1" applyFont="1" applyFill="1" applyBorder="1" applyAlignment="1">
      <alignment wrapText="1"/>
    </xf>
    <xf numFmtId="0" fontId="26" fillId="0" borderId="11" xfId="0" applyNumberFormat="1" applyFont="1" applyFill="1" applyBorder="1" applyAlignment="1">
      <alignment horizontal="left" wrapText="1"/>
    </xf>
    <xf numFmtId="0" fontId="33" fillId="0" borderId="11" xfId="0" applyNumberFormat="1" applyFont="1" applyFill="1" applyBorder="1" applyAlignment="1">
      <alignment horizontal="left" wrapText="1"/>
    </xf>
    <xf numFmtId="0" fontId="26" fillId="0" borderId="32" xfId="0" applyFont="1" applyFill="1" applyBorder="1" applyAlignment="1">
      <alignment horizontal="center" wrapText="1"/>
    </xf>
    <xf numFmtId="0" fontId="32" fillId="0" borderId="11" xfId="0" applyFont="1" applyFill="1" applyBorder="1" applyAlignment="1">
      <alignment horizontal="left" wrapText="1"/>
    </xf>
    <xf numFmtId="4" fontId="32" fillId="0" borderId="11" xfId="0" applyNumberFormat="1" applyFont="1" applyFill="1" applyBorder="1" applyAlignment="1">
      <alignment horizontal="right" wrapText="1"/>
    </xf>
    <xf numFmtId="0" fontId="26" fillId="0" borderId="21" xfId="0" applyNumberFormat="1" applyFont="1" applyFill="1" applyBorder="1" applyAlignment="1">
      <alignment horizontal="left" wrapText="1"/>
    </xf>
    <xf numFmtId="0" fontId="26" fillId="0" borderId="31" xfId="0" applyFont="1" applyFill="1" applyBorder="1" applyAlignment="1">
      <alignment horizontal="left" wrapText="1"/>
    </xf>
    <xf numFmtId="4" fontId="33" fillId="0" borderId="11" xfId="99" applyNumberFormat="1" applyFont="1" applyFill="1" applyBorder="1" applyProtection="1">
      <alignment horizontal="right" vertical="top" shrinkToFit="1"/>
      <protection locked="0"/>
    </xf>
    <xf numFmtId="0" fontId="29" fillId="0" borderId="11" xfId="0" applyFont="1" applyFill="1" applyBorder="1" applyAlignment="1">
      <alignment horizontal="center" wrapText="1"/>
    </xf>
    <xf numFmtId="0" fontId="32" fillId="0" borderId="11" xfId="0" applyNumberFormat="1" applyFont="1" applyFill="1" applyBorder="1" applyAlignment="1">
      <alignment horizontal="left" wrapText="1"/>
    </xf>
    <xf numFmtId="0" fontId="36" fillId="0" borderId="0" xfId="0" applyFont="1" applyFill="1" applyAlignment="1">
      <alignment horizontal="left"/>
    </xf>
    <xf numFmtId="4" fontId="26" fillId="0" borderId="11" xfId="0" applyNumberFormat="1" applyFont="1" applyFill="1" applyBorder="1" applyAlignment="1">
      <alignment horizontal="right"/>
    </xf>
    <xf numFmtId="0" fontId="33" fillId="0" borderId="11" xfId="129" applyFont="1" applyFill="1" applyBorder="1" applyAlignment="1">
      <alignment vertical="top" wrapText="1"/>
      <protection/>
    </xf>
    <xf numFmtId="0" fontId="37" fillId="0" borderId="0" xfId="0" applyFont="1" applyFill="1" applyAlignment="1">
      <alignment horizontal="left"/>
    </xf>
    <xf numFmtId="0" fontId="38" fillId="0" borderId="11" xfId="0" applyFont="1" applyFill="1" applyBorder="1" applyAlignment="1">
      <alignment horizontal="left" wrapText="1"/>
    </xf>
    <xf numFmtId="0" fontId="39" fillId="0" borderId="11" xfId="0" applyFont="1" applyFill="1" applyBorder="1" applyAlignment="1">
      <alignment/>
    </xf>
    <xf numFmtId="0" fontId="40" fillId="0" borderId="11" xfId="0" applyFont="1" applyFill="1" applyBorder="1" applyAlignment="1">
      <alignment/>
    </xf>
    <xf numFmtId="0" fontId="40" fillId="0" borderId="11" xfId="0" applyFont="1" applyFill="1" applyBorder="1" applyAlignment="1">
      <alignment/>
    </xf>
    <xf numFmtId="4" fontId="39" fillId="0" borderId="11" xfId="0" applyNumberFormat="1" applyFont="1" applyFill="1" applyBorder="1" applyAlignment="1">
      <alignment/>
    </xf>
    <xf numFmtId="0" fontId="41" fillId="0" borderId="0" xfId="0" applyFont="1" applyFill="1" applyAlignment="1">
      <alignment horizontal="left"/>
    </xf>
    <xf numFmtId="0" fontId="27" fillId="0" borderId="0" xfId="0" applyFont="1" applyFill="1" applyBorder="1" applyAlignment="1">
      <alignment horizontal="left" wrapText="1"/>
    </xf>
    <xf numFmtId="0" fontId="27" fillId="0" borderId="0" xfId="0" applyFont="1" applyFill="1" applyBorder="1" applyAlignment="1">
      <alignment wrapText="1"/>
    </xf>
    <xf numFmtId="0" fontId="28" fillId="0" borderId="0" xfId="0" applyFont="1" applyFill="1" applyBorder="1" applyAlignment="1">
      <alignment horizontal="center" wrapText="1"/>
    </xf>
  </cellXfs>
  <cellStyles count="12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Акцент1" xfId="110"/>
    <cellStyle name="Акцент2" xfId="111"/>
    <cellStyle name="Акцент3" xfId="112"/>
    <cellStyle name="Акцент4" xfId="113"/>
    <cellStyle name="Акцент5" xfId="114"/>
    <cellStyle name="Акцент6" xfId="115"/>
    <cellStyle name="Ввод " xfId="116"/>
    <cellStyle name="Вывод" xfId="117"/>
    <cellStyle name="Вычисление" xfId="118"/>
    <cellStyle name="Currency" xfId="119"/>
    <cellStyle name="Currency [0]" xfId="120"/>
    <cellStyle name="Заголовок 1" xfId="121"/>
    <cellStyle name="Заголовок 2" xfId="122"/>
    <cellStyle name="Заголовок 3" xfId="123"/>
    <cellStyle name="Заголовок 4" xfId="124"/>
    <cellStyle name="Итог" xfId="125"/>
    <cellStyle name="Контрольная ячейка" xfId="126"/>
    <cellStyle name="Название" xfId="127"/>
    <cellStyle name="Нейтральный" xfId="128"/>
    <cellStyle name="Обычный_Лист1" xfId="129"/>
    <cellStyle name="Обычный_Лист1_1" xfId="130"/>
    <cellStyle name="Плохой" xfId="131"/>
    <cellStyle name="Пояснение" xfId="132"/>
    <cellStyle name="Примечание" xfId="133"/>
    <cellStyle name="Percent" xfId="134"/>
    <cellStyle name="Связанная ячейка"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070"/>
  <sheetViews>
    <sheetView tabSelected="1" zoomScale="85" zoomScaleNormal="85" zoomScaleSheetLayoutView="90" zoomScalePageLayoutView="0" workbookViewId="0" topLeftCell="A1">
      <selection activeCell="A4" sqref="A4:G4"/>
    </sheetView>
  </sheetViews>
  <sheetFormatPr defaultColWidth="8.875" defaultRowHeight="12.75"/>
  <cols>
    <col min="1" max="1" width="61.75390625" style="1" customWidth="1"/>
    <col min="2" max="2" width="9.00390625" style="1" customWidth="1"/>
    <col min="3" max="3" width="17.00390625" style="2" customWidth="1"/>
    <col min="4" max="4" width="8.875" style="2" customWidth="1"/>
    <col min="5" max="5" width="22.75390625" style="3" customWidth="1"/>
    <col min="6" max="6" width="21.00390625" style="2" customWidth="1"/>
    <col min="7" max="7" width="21.00390625" style="3" customWidth="1"/>
    <col min="8" max="8" width="19.00390625" style="4" customWidth="1"/>
    <col min="9" max="9" width="16.75390625" style="4" customWidth="1"/>
    <col min="10" max="16384" width="8.875" style="4" customWidth="1"/>
  </cols>
  <sheetData>
    <row r="1" spans="1:7" ht="52.5" customHeight="1">
      <c r="A1" s="5"/>
      <c r="B1" s="5"/>
      <c r="C1" s="6"/>
      <c r="D1" s="6"/>
      <c r="E1" s="78" t="s">
        <v>719</v>
      </c>
      <c r="F1" s="78"/>
      <c r="G1" s="78"/>
    </row>
    <row r="2" spans="1:7" ht="16.5" customHeight="1">
      <c r="A2" s="5"/>
      <c r="B2" s="5"/>
      <c r="C2" s="6"/>
      <c r="D2" s="6"/>
      <c r="E2" s="79" t="s">
        <v>720</v>
      </c>
      <c r="F2" s="79"/>
      <c r="G2" s="79"/>
    </row>
    <row r="3" spans="1:6" ht="15.75">
      <c r="A3" s="5"/>
      <c r="B3" s="5"/>
      <c r="C3" s="7"/>
      <c r="D3" s="7"/>
      <c r="F3" s="7"/>
    </row>
    <row r="4" spans="1:7" ht="51" customHeight="1">
      <c r="A4" s="80" t="s">
        <v>0</v>
      </c>
      <c r="B4" s="80"/>
      <c r="C4" s="80"/>
      <c r="D4" s="80"/>
      <c r="E4" s="80"/>
      <c r="F4" s="80"/>
      <c r="G4" s="80"/>
    </row>
    <row r="5" spans="1:6" ht="15.75">
      <c r="A5" s="8"/>
      <c r="B5" s="9"/>
      <c r="C5" s="8"/>
      <c r="D5" s="8"/>
      <c r="F5" s="8"/>
    </row>
    <row r="6" spans="1:7" s="13" customFormat="1" ht="42.75">
      <c r="A6" s="10" t="s">
        <v>1</v>
      </c>
      <c r="B6" s="11" t="s">
        <v>2</v>
      </c>
      <c r="C6" s="11" t="s">
        <v>3</v>
      </c>
      <c r="D6" s="11" t="s">
        <v>4</v>
      </c>
      <c r="E6" s="12" t="s">
        <v>5</v>
      </c>
      <c r="F6" s="12" t="s">
        <v>6</v>
      </c>
      <c r="G6" s="12" t="s">
        <v>7</v>
      </c>
    </row>
    <row r="7" spans="1:7" s="13" customFormat="1" ht="15.75">
      <c r="A7" s="14" t="s">
        <v>8</v>
      </c>
      <c r="B7" s="15" t="s">
        <v>9</v>
      </c>
      <c r="C7" s="15"/>
      <c r="D7" s="15"/>
      <c r="E7" s="16">
        <f>SUM(E8,E18,E58,E84,E94,E103,E64)</f>
        <v>430282508.2</v>
      </c>
      <c r="F7" s="16">
        <f>SUM(F8,F18,F58,F84,F94,F103,F64)</f>
        <v>73129468.30999999</v>
      </c>
      <c r="G7" s="16">
        <f aca="true" t="shared" si="0" ref="G7:G70">SUM(E7:F7)</f>
        <v>503411976.51</v>
      </c>
    </row>
    <row r="8" spans="1:7" s="13" customFormat="1" ht="47.25">
      <c r="A8" s="17" t="s">
        <v>10</v>
      </c>
      <c r="B8" s="18" t="s">
        <v>11</v>
      </c>
      <c r="C8" s="19"/>
      <c r="D8" s="19"/>
      <c r="E8" s="20">
        <f aca="true" t="shared" si="1" ref="E8:F10">E9</f>
        <v>28707215</v>
      </c>
      <c r="F8" s="20">
        <f t="shared" si="1"/>
        <v>1242108</v>
      </c>
      <c r="G8" s="21">
        <f t="shared" si="0"/>
        <v>29949323</v>
      </c>
    </row>
    <row r="9" spans="1:7" s="13" customFormat="1" ht="15.75">
      <c r="A9" s="22" t="s">
        <v>12</v>
      </c>
      <c r="B9" s="23" t="s">
        <v>11</v>
      </c>
      <c r="C9" s="19" t="s">
        <v>13</v>
      </c>
      <c r="D9" s="19"/>
      <c r="E9" s="24">
        <f t="shared" si="1"/>
        <v>28707215</v>
      </c>
      <c r="F9" s="24">
        <f t="shared" si="1"/>
        <v>1242108</v>
      </c>
      <c r="G9" s="25">
        <f t="shared" si="0"/>
        <v>29949323</v>
      </c>
    </row>
    <row r="10" spans="1:9" s="13" customFormat="1" ht="31.5">
      <c r="A10" s="26" t="s">
        <v>14</v>
      </c>
      <c r="B10" s="23" t="s">
        <v>11</v>
      </c>
      <c r="C10" s="19" t="s">
        <v>15</v>
      </c>
      <c r="D10" s="19"/>
      <c r="E10" s="24">
        <f t="shared" si="1"/>
        <v>28707215</v>
      </c>
      <c r="F10" s="24">
        <f t="shared" si="1"/>
        <v>1242108</v>
      </c>
      <c r="G10" s="25">
        <f t="shared" si="0"/>
        <v>29949323</v>
      </c>
      <c r="I10" s="27"/>
    </row>
    <row r="11" spans="1:7" s="13" customFormat="1" ht="31.5">
      <c r="A11" s="26" t="s">
        <v>16</v>
      </c>
      <c r="B11" s="23" t="s">
        <v>11</v>
      </c>
      <c r="C11" s="19" t="s">
        <v>17</v>
      </c>
      <c r="D11" s="19"/>
      <c r="E11" s="24">
        <f>SUM(E12,E14,E16)</f>
        <v>28707215</v>
      </c>
      <c r="F11" s="24">
        <f>SUM(F12,F14,F16)</f>
        <v>1242108</v>
      </c>
      <c r="G11" s="25">
        <f t="shared" si="0"/>
        <v>29949323</v>
      </c>
    </row>
    <row r="12" spans="1:7" s="13" customFormat="1" ht="78.75">
      <c r="A12" s="28" t="s">
        <v>18</v>
      </c>
      <c r="B12" s="23" t="s">
        <v>11</v>
      </c>
      <c r="C12" s="19" t="s">
        <v>17</v>
      </c>
      <c r="D12" s="23" t="s">
        <v>19</v>
      </c>
      <c r="E12" s="24">
        <f>E13</f>
        <v>24762215</v>
      </c>
      <c r="F12" s="24">
        <f>F13</f>
        <v>1242108</v>
      </c>
      <c r="G12" s="25">
        <f t="shared" si="0"/>
        <v>26004323</v>
      </c>
    </row>
    <row r="13" spans="1:7" s="13" customFormat="1" ht="31.5">
      <c r="A13" s="28" t="s">
        <v>20</v>
      </c>
      <c r="B13" s="23" t="s">
        <v>11</v>
      </c>
      <c r="C13" s="19" t="s">
        <v>17</v>
      </c>
      <c r="D13" s="23" t="s">
        <v>21</v>
      </c>
      <c r="E13" s="24">
        <v>24762215</v>
      </c>
      <c r="F13" s="29">
        <v>1242108</v>
      </c>
      <c r="G13" s="25">
        <f t="shared" si="0"/>
        <v>26004323</v>
      </c>
    </row>
    <row r="14" spans="1:7" s="13" customFormat="1" ht="31.5">
      <c r="A14" s="30" t="s">
        <v>22</v>
      </c>
      <c r="B14" s="23" t="s">
        <v>11</v>
      </c>
      <c r="C14" s="19" t="s">
        <v>17</v>
      </c>
      <c r="D14" s="23" t="s">
        <v>23</v>
      </c>
      <c r="E14" s="24">
        <f>E15</f>
        <v>3935000</v>
      </c>
      <c r="F14" s="24">
        <f>F15</f>
        <v>0</v>
      </c>
      <c r="G14" s="25">
        <f t="shared" si="0"/>
        <v>3935000</v>
      </c>
    </row>
    <row r="15" spans="1:7" s="13" customFormat="1" ht="31.5">
      <c r="A15" s="30" t="s">
        <v>24</v>
      </c>
      <c r="B15" s="23" t="s">
        <v>11</v>
      </c>
      <c r="C15" s="19" t="s">
        <v>17</v>
      </c>
      <c r="D15" s="23" t="s">
        <v>25</v>
      </c>
      <c r="E15" s="24">
        <v>3935000</v>
      </c>
      <c r="F15" s="29">
        <v>0</v>
      </c>
      <c r="G15" s="25">
        <f t="shared" si="0"/>
        <v>3935000</v>
      </c>
    </row>
    <row r="16" spans="1:7" s="13" customFormat="1" ht="15.75">
      <c r="A16" s="30" t="s">
        <v>26</v>
      </c>
      <c r="B16" s="23" t="s">
        <v>11</v>
      </c>
      <c r="C16" s="19" t="s">
        <v>17</v>
      </c>
      <c r="D16" s="23" t="s">
        <v>27</v>
      </c>
      <c r="E16" s="24">
        <f>E17</f>
        <v>10000</v>
      </c>
      <c r="F16" s="24">
        <f>F17</f>
        <v>0</v>
      </c>
      <c r="G16" s="25">
        <f t="shared" si="0"/>
        <v>10000</v>
      </c>
    </row>
    <row r="17" spans="1:7" s="13" customFormat="1" ht="15.75">
      <c r="A17" s="30" t="s">
        <v>28</v>
      </c>
      <c r="B17" s="23" t="s">
        <v>11</v>
      </c>
      <c r="C17" s="19" t="s">
        <v>17</v>
      </c>
      <c r="D17" s="23" t="s">
        <v>29</v>
      </c>
      <c r="E17" s="24">
        <v>10000</v>
      </c>
      <c r="F17" s="29">
        <v>0</v>
      </c>
      <c r="G17" s="25">
        <f t="shared" si="0"/>
        <v>10000</v>
      </c>
    </row>
    <row r="18" spans="1:8" s="13" customFormat="1" ht="63">
      <c r="A18" s="17" t="s">
        <v>30</v>
      </c>
      <c r="B18" s="18" t="s">
        <v>31</v>
      </c>
      <c r="C18" s="18"/>
      <c r="D18" s="18"/>
      <c r="E18" s="21">
        <f>E19</f>
        <v>210897360</v>
      </c>
      <c r="F18" s="21">
        <f>F19</f>
        <v>7972325</v>
      </c>
      <c r="G18" s="21">
        <f t="shared" si="0"/>
        <v>218869685</v>
      </c>
      <c r="H18" s="31"/>
    </row>
    <row r="19" spans="1:7" s="13" customFormat="1" ht="15.75">
      <c r="A19" s="22" t="s">
        <v>12</v>
      </c>
      <c r="B19" s="23" t="s">
        <v>31</v>
      </c>
      <c r="C19" s="19" t="s">
        <v>13</v>
      </c>
      <c r="D19" s="18"/>
      <c r="E19" s="25">
        <f>SUM(E20,E54)</f>
        <v>210897360</v>
      </c>
      <c r="F19" s="25">
        <f>SUM(F20,F54)</f>
        <v>7972325</v>
      </c>
      <c r="G19" s="25">
        <f t="shared" si="0"/>
        <v>218869685</v>
      </c>
    </row>
    <row r="20" spans="1:7" s="32" customFormat="1" ht="31.5">
      <c r="A20" s="26" t="s">
        <v>14</v>
      </c>
      <c r="B20" s="23" t="s">
        <v>31</v>
      </c>
      <c r="C20" s="19" t="s">
        <v>15</v>
      </c>
      <c r="D20" s="19"/>
      <c r="E20" s="24">
        <f>SUM(E24,E30,E35,E27,E44,E21,E51)</f>
        <v>210897360</v>
      </c>
      <c r="F20" s="24">
        <f>SUM(F24,F30,F35,F27,F44,F21,F51)</f>
        <v>7857382</v>
      </c>
      <c r="G20" s="25">
        <f t="shared" si="0"/>
        <v>218754742</v>
      </c>
    </row>
    <row r="21" spans="1:7" s="32" customFormat="1" ht="47.25">
      <c r="A21" s="26" t="s">
        <v>32</v>
      </c>
      <c r="B21" s="23" t="s">
        <v>31</v>
      </c>
      <c r="C21" s="19" t="s">
        <v>33</v>
      </c>
      <c r="D21" s="19"/>
      <c r="E21" s="24">
        <f>E22</f>
        <v>0</v>
      </c>
      <c r="F21" s="24">
        <f>F22</f>
        <v>947766</v>
      </c>
      <c r="G21" s="25">
        <f t="shared" si="0"/>
        <v>947766</v>
      </c>
    </row>
    <row r="22" spans="1:7" s="32" customFormat="1" ht="78.75">
      <c r="A22" s="28" t="s">
        <v>18</v>
      </c>
      <c r="B22" s="23" t="s">
        <v>31</v>
      </c>
      <c r="C22" s="19" t="s">
        <v>33</v>
      </c>
      <c r="D22" s="23" t="s">
        <v>19</v>
      </c>
      <c r="E22" s="24">
        <f>E23</f>
        <v>0</v>
      </c>
      <c r="F22" s="24">
        <f>F23</f>
        <v>947766</v>
      </c>
      <c r="G22" s="25">
        <f t="shared" si="0"/>
        <v>947766</v>
      </c>
    </row>
    <row r="23" spans="1:7" s="32" customFormat="1" ht="31.5">
      <c r="A23" s="28" t="s">
        <v>20</v>
      </c>
      <c r="B23" s="23" t="s">
        <v>31</v>
      </c>
      <c r="C23" s="19" t="s">
        <v>33</v>
      </c>
      <c r="D23" s="23" t="s">
        <v>21</v>
      </c>
      <c r="E23" s="24">
        <v>0</v>
      </c>
      <c r="F23" s="24">
        <v>947766</v>
      </c>
      <c r="G23" s="25">
        <f t="shared" si="0"/>
        <v>947766</v>
      </c>
    </row>
    <row r="24" spans="1:7" s="32" customFormat="1" ht="15.75">
      <c r="A24" s="30" t="s">
        <v>34</v>
      </c>
      <c r="B24" s="23" t="s">
        <v>31</v>
      </c>
      <c r="C24" s="19" t="s">
        <v>35</v>
      </c>
      <c r="D24" s="23"/>
      <c r="E24" s="24">
        <f>E25</f>
        <v>377695</v>
      </c>
      <c r="F24" s="24">
        <f>F25</f>
        <v>0</v>
      </c>
      <c r="G24" s="25">
        <f t="shared" si="0"/>
        <v>377695</v>
      </c>
    </row>
    <row r="25" spans="1:7" s="32" customFormat="1" ht="31.5">
      <c r="A25" s="30" t="s">
        <v>22</v>
      </c>
      <c r="B25" s="23" t="s">
        <v>31</v>
      </c>
      <c r="C25" s="19" t="s">
        <v>35</v>
      </c>
      <c r="D25" s="23" t="s">
        <v>23</v>
      </c>
      <c r="E25" s="29">
        <f>E26</f>
        <v>377695</v>
      </c>
      <c r="F25" s="29">
        <f>F26</f>
        <v>0</v>
      </c>
      <c r="G25" s="25">
        <f t="shared" si="0"/>
        <v>377695</v>
      </c>
    </row>
    <row r="26" spans="1:7" s="32" customFormat="1" ht="31.5">
      <c r="A26" s="30" t="s">
        <v>24</v>
      </c>
      <c r="B26" s="23" t="s">
        <v>31</v>
      </c>
      <c r="C26" s="19" t="s">
        <v>35</v>
      </c>
      <c r="D26" s="23" t="s">
        <v>25</v>
      </c>
      <c r="E26" s="29">
        <v>377695</v>
      </c>
      <c r="F26" s="29">
        <v>0</v>
      </c>
      <c r="G26" s="25">
        <f t="shared" si="0"/>
        <v>377695</v>
      </c>
    </row>
    <row r="27" spans="1:7" s="13" customFormat="1" ht="78.75">
      <c r="A27" s="28" t="s">
        <v>36</v>
      </c>
      <c r="B27" s="23" t="s">
        <v>31</v>
      </c>
      <c r="C27" s="19" t="s">
        <v>37</v>
      </c>
      <c r="D27" s="19"/>
      <c r="E27" s="24">
        <f>E28</f>
        <v>1197954</v>
      </c>
      <c r="F27" s="24">
        <f>F28</f>
        <v>0</v>
      </c>
      <c r="G27" s="25">
        <f t="shared" si="0"/>
        <v>1197954</v>
      </c>
    </row>
    <row r="28" spans="1:7" s="13" customFormat="1" ht="78.75">
      <c r="A28" s="28" t="s">
        <v>18</v>
      </c>
      <c r="B28" s="23" t="s">
        <v>31</v>
      </c>
      <c r="C28" s="19" t="s">
        <v>37</v>
      </c>
      <c r="D28" s="23" t="s">
        <v>19</v>
      </c>
      <c r="E28" s="24">
        <f>E29</f>
        <v>1197954</v>
      </c>
      <c r="F28" s="24">
        <f>F29</f>
        <v>0</v>
      </c>
      <c r="G28" s="25">
        <f t="shared" si="0"/>
        <v>1197954</v>
      </c>
    </row>
    <row r="29" spans="1:7" s="13" customFormat="1" ht="31.5">
      <c r="A29" s="28" t="s">
        <v>20</v>
      </c>
      <c r="B29" s="23" t="s">
        <v>31</v>
      </c>
      <c r="C29" s="19" t="s">
        <v>37</v>
      </c>
      <c r="D29" s="23" t="s">
        <v>21</v>
      </c>
      <c r="E29" s="24">
        <v>1197954</v>
      </c>
      <c r="F29" s="29">
        <v>0</v>
      </c>
      <c r="G29" s="25">
        <f t="shared" si="0"/>
        <v>1197954</v>
      </c>
    </row>
    <row r="30" spans="1:7" s="32" customFormat="1" ht="31.5">
      <c r="A30" s="30" t="s">
        <v>38</v>
      </c>
      <c r="B30" s="23" t="s">
        <v>31</v>
      </c>
      <c r="C30" s="19" t="s">
        <v>39</v>
      </c>
      <c r="D30" s="23"/>
      <c r="E30" s="29">
        <f>SUM(E31,E33)</f>
        <v>6135811</v>
      </c>
      <c r="F30" s="29">
        <f>SUM(F31,F33)</f>
        <v>322938</v>
      </c>
      <c r="G30" s="25">
        <f t="shared" si="0"/>
        <v>6458749</v>
      </c>
    </row>
    <row r="31" spans="1:7" s="32" customFormat="1" ht="78.75">
      <c r="A31" s="28" t="s">
        <v>18</v>
      </c>
      <c r="B31" s="23" t="s">
        <v>31</v>
      </c>
      <c r="C31" s="19" t="s">
        <v>39</v>
      </c>
      <c r="D31" s="23" t="s">
        <v>19</v>
      </c>
      <c r="E31" s="29">
        <f>E32</f>
        <v>5694116</v>
      </c>
      <c r="F31" s="29">
        <f>F32</f>
        <v>0</v>
      </c>
      <c r="G31" s="25">
        <f t="shared" si="0"/>
        <v>5694116</v>
      </c>
    </row>
    <row r="32" spans="1:7" ht="31.5">
      <c r="A32" s="28" t="s">
        <v>20</v>
      </c>
      <c r="B32" s="23" t="s">
        <v>31</v>
      </c>
      <c r="C32" s="19" t="s">
        <v>39</v>
      </c>
      <c r="D32" s="23" t="s">
        <v>21</v>
      </c>
      <c r="E32" s="29">
        <v>5694116</v>
      </c>
      <c r="F32" s="29">
        <v>0</v>
      </c>
      <c r="G32" s="25">
        <f t="shared" si="0"/>
        <v>5694116</v>
      </c>
    </row>
    <row r="33" spans="1:7" s="13" customFormat="1" ht="31.5">
      <c r="A33" s="30" t="s">
        <v>22</v>
      </c>
      <c r="B33" s="23" t="s">
        <v>31</v>
      </c>
      <c r="C33" s="19" t="s">
        <v>39</v>
      </c>
      <c r="D33" s="23" t="s">
        <v>23</v>
      </c>
      <c r="E33" s="24">
        <f>E34</f>
        <v>441695</v>
      </c>
      <c r="F33" s="24">
        <f>F34</f>
        <v>322938</v>
      </c>
      <c r="G33" s="25">
        <f t="shared" si="0"/>
        <v>764633</v>
      </c>
    </row>
    <row r="34" spans="1:7" s="13" customFormat="1" ht="31.5">
      <c r="A34" s="30" t="s">
        <v>24</v>
      </c>
      <c r="B34" s="23" t="s">
        <v>31</v>
      </c>
      <c r="C34" s="19" t="s">
        <v>39</v>
      </c>
      <c r="D34" s="23" t="s">
        <v>25</v>
      </c>
      <c r="E34" s="24">
        <v>441695</v>
      </c>
      <c r="F34" s="29">
        <v>322938</v>
      </c>
      <c r="G34" s="25">
        <f t="shared" si="0"/>
        <v>764633</v>
      </c>
    </row>
    <row r="35" spans="1:7" s="13" customFormat="1" ht="47.25">
      <c r="A35" s="26" t="s">
        <v>40</v>
      </c>
      <c r="B35" s="23" t="s">
        <v>31</v>
      </c>
      <c r="C35" s="19" t="s">
        <v>41</v>
      </c>
      <c r="D35" s="19"/>
      <c r="E35" s="24">
        <f>SUM(E36,E38,E42,E40)</f>
        <v>175916400</v>
      </c>
      <c r="F35" s="24">
        <f>SUM(F36,F38,F42,F40)</f>
        <v>288970</v>
      </c>
      <c r="G35" s="25">
        <f t="shared" si="0"/>
        <v>176205370</v>
      </c>
    </row>
    <row r="36" spans="1:7" s="13" customFormat="1" ht="78.75">
      <c r="A36" s="28" t="s">
        <v>18</v>
      </c>
      <c r="B36" s="23" t="s">
        <v>31</v>
      </c>
      <c r="C36" s="19" t="s">
        <v>41</v>
      </c>
      <c r="D36" s="23" t="s">
        <v>19</v>
      </c>
      <c r="E36" s="24">
        <f>E37</f>
        <v>165566400</v>
      </c>
      <c r="F36" s="24">
        <f>F37</f>
        <v>-50000</v>
      </c>
      <c r="G36" s="25">
        <f t="shared" si="0"/>
        <v>165516400</v>
      </c>
    </row>
    <row r="37" spans="1:7" s="13" customFormat="1" ht="31.5">
      <c r="A37" s="28" t="s">
        <v>20</v>
      </c>
      <c r="B37" s="23" t="s">
        <v>31</v>
      </c>
      <c r="C37" s="19" t="s">
        <v>41</v>
      </c>
      <c r="D37" s="23" t="s">
        <v>21</v>
      </c>
      <c r="E37" s="24">
        <v>165566400</v>
      </c>
      <c r="F37" s="29">
        <f>-100000-713620-969200-482748-107500-200000-271000-50000+2844068</f>
        <v>-50000</v>
      </c>
      <c r="G37" s="25">
        <f t="shared" si="0"/>
        <v>165516400</v>
      </c>
    </row>
    <row r="38" spans="1:7" s="13" customFormat="1" ht="31.5">
      <c r="A38" s="30" t="s">
        <v>22</v>
      </c>
      <c r="B38" s="23" t="s">
        <v>31</v>
      </c>
      <c r="C38" s="19" t="s">
        <v>41</v>
      </c>
      <c r="D38" s="23" t="s">
        <v>23</v>
      </c>
      <c r="E38" s="24">
        <f>E39</f>
        <v>10250000</v>
      </c>
      <c r="F38" s="24">
        <f>F39</f>
        <v>288970</v>
      </c>
      <c r="G38" s="25">
        <f t="shared" si="0"/>
        <v>10538970</v>
      </c>
    </row>
    <row r="39" spans="1:7" s="13" customFormat="1" ht="31.5">
      <c r="A39" s="30" t="s">
        <v>24</v>
      </c>
      <c r="B39" s="23" t="s">
        <v>31</v>
      </c>
      <c r="C39" s="19" t="s">
        <v>41</v>
      </c>
      <c r="D39" s="23" t="s">
        <v>25</v>
      </c>
      <c r="E39" s="24">
        <v>10250000</v>
      </c>
      <c r="F39" s="29">
        <f>100000+713620+969200-39900+271000-1724950</f>
        <v>288970</v>
      </c>
      <c r="G39" s="25">
        <f t="shared" si="0"/>
        <v>10538970</v>
      </c>
    </row>
    <row r="40" spans="1:7" s="13" customFormat="1" ht="15.75">
      <c r="A40" s="30" t="s">
        <v>42</v>
      </c>
      <c r="B40" s="23" t="s">
        <v>31</v>
      </c>
      <c r="C40" s="19" t="s">
        <v>41</v>
      </c>
      <c r="D40" s="23" t="s">
        <v>43</v>
      </c>
      <c r="E40" s="24">
        <f>E41</f>
        <v>0</v>
      </c>
      <c r="F40" s="29">
        <f>F41</f>
        <v>50000</v>
      </c>
      <c r="G40" s="25">
        <f t="shared" si="0"/>
        <v>50000</v>
      </c>
    </row>
    <row r="41" spans="1:7" s="13" customFormat="1" ht="31.5">
      <c r="A41" s="30" t="s">
        <v>44</v>
      </c>
      <c r="B41" s="23" t="s">
        <v>31</v>
      </c>
      <c r="C41" s="19" t="s">
        <v>41</v>
      </c>
      <c r="D41" s="23" t="s">
        <v>45</v>
      </c>
      <c r="E41" s="24">
        <v>0</v>
      </c>
      <c r="F41" s="29">
        <v>50000</v>
      </c>
      <c r="G41" s="25">
        <f t="shared" si="0"/>
        <v>50000</v>
      </c>
    </row>
    <row r="42" spans="1:7" s="32" customFormat="1" ht="15.75">
      <c r="A42" s="30" t="s">
        <v>26</v>
      </c>
      <c r="B42" s="23" t="s">
        <v>31</v>
      </c>
      <c r="C42" s="19" t="s">
        <v>41</v>
      </c>
      <c r="D42" s="23" t="s">
        <v>27</v>
      </c>
      <c r="E42" s="24">
        <f>E43</f>
        <v>100000</v>
      </c>
      <c r="F42" s="24">
        <f>F43</f>
        <v>0</v>
      </c>
      <c r="G42" s="25">
        <f t="shared" si="0"/>
        <v>100000</v>
      </c>
    </row>
    <row r="43" spans="1:7" s="13" customFormat="1" ht="15.75">
      <c r="A43" s="30" t="s">
        <v>28</v>
      </c>
      <c r="B43" s="23" t="s">
        <v>31</v>
      </c>
      <c r="C43" s="19" t="s">
        <v>41</v>
      </c>
      <c r="D43" s="23" t="s">
        <v>29</v>
      </c>
      <c r="E43" s="24">
        <v>100000</v>
      </c>
      <c r="F43" s="29">
        <v>0</v>
      </c>
      <c r="G43" s="25">
        <f t="shared" si="0"/>
        <v>100000</v>
      </c>
    </row>
    <row r="44" spans="1:7" s="13" customFormat="1" ht="47.25">
      <c r="A44" s="30" t="s">
        <v>46</v>
      </c>
      <c r="B44" s="23" t="s">
        <v>31</v>
      </c>
      <c r="C44" s="19" t="s">
        <v>47</v>
      </c>
      <c r="D44" s="19"/>
      <c r="E44" s="24">
        <f>E45+E47+E49</f>
        <v>27269500</v>
      </c>
      <c r="F44" s="24">
        <f>F45+F47+F49</f>
        <v>0</v>
      </c>
      <c r="G44" s="25">
        <f t="shared" si="0"/>
        <v>27269500</v>
      </c>
    </row>
    <row r="45" spans="1:7" s="13" customFormat="1" ht="78.75">
      <c r="A45" s="28" t="s">
        <v>18</v>
      </c>
      <c r="B45" s="23" t="s">
        <v>31</v>
      </c>
      <c r="C45" s="19" t="s">
        <v>47</v>
      </c>
      <c r="D45" s="19">
        <v>100</v>
      </c>
      <c r="E45" s="24">
        <f>E46</f>
        <v>17056000</v>
      </c>
      <c r="F45" s="24">
        <f>F46</f>
        <v>0</v>
      </c>
      <c r="G45" s="25">
        <f t="shared" si="0"/>
        <v>17056000</v>
      </c>
    </row>
    <row r="46" spans="1:7" s="13" customFormat="1" ht="31.5">
      <c r="A46" s="28" t="s">
        <v>20</v>
      </c>
      <c r="B46" s="23" t="s">
        <v>31</v>
      </c>
      <c r="C46" s="19" t="s">
        <v>47</v>
      </c>
      <c r="D46" s="19">
        <v>120</v>
      </c>
      <c r="E46" s="24">
        <v>17056000</v>
      </c>
      <c r="F46" s="29">
        <v>0</v>
      </c>
      <c r="G46" s="25">
        <f t="shared" si="0"/>
        <v>17056000</v>
      </c>
    </row>
    <row r="47" spans="1:7" s="13" customFormat="1" ht="31.5">
      <c r="A47" s="30" t="s">
        <v>22</v>
      </c>
      <c r="B47" s="23" t="s">
        <v>31</v>
      </c>
      <c r="C47" s="19" t="s">
        <v>47</v>
      </c>
      <c r="D47" s="19">
        <v>200</v>
      </c>
      <c r="E47" s="24">
        <f>E48</f>
        <v>10200000</v>
      </c>
      <c r="F47" s="24">
        <f>F48</f>
        <v>-4000</v>
      </c>
      <c r="G47" s="25">
        <f t="shared" si="0"/>
        <v>10196000</v>
      </c>
    </row>
    <row r="48" spans="1:7" s="13" customFormat="1" ht="31.5">
      <c r="A48" s="30" t="s">
        <v>24</v>
      </c>
      <c r="B48" s="23" t="s">
        <v>31</v>
      </c>
      <c r="C48" s="19" t="s">
        <v>47</v>
      </c>
      <c r="D48" s="19">
        <v>240</v>
      </c>
      <c r="E48" s="24">
        <v>10200000</v>
      </c>
      <c r="F48" s="29">
        <v>-4000</v>
      </c>
      <c r="G48" s="25">
        <f t="shared" si="0"/>
        <v>10196000</v>
      </c>
    </row>
    <row r="49" spans="1:7" s="13" customFormat="1" ht="15.75">
      <c r="A49" s="30" t="s">
        <v>26</v>
      </c>
      <c r="B49" s="23" t="s">
        <v>31</v>
      </c>
      <c r="C49" s="19" t="s">
        <v>47</v>
      </c>
      <c r="D49" s="19">
        <v>800</v>
      </c>
      <c r="E49" s="24">
        <f>E50</f>
        <v>13500</v>
      </c>
      <c r="F49" s="24">
        <f>F50</f>
        <v>4000</v>
      </c>
      <c r="G49" s="25">
        <f t="shared" si="0"/>
        <v>17500</v>
      </c>
    </row>
    <row r="50" spans="1:7" s="13" customFormat="1" ht="15.75">
      <c r="A50" s="30" t="s">
        <v>28</v>
      </c>
      <c r="B50" s="23" t="s">
        <v>31</v>
      </c>
      <c r="C50" s="19" t="s">
        <v>47</v>
      </c>
      <c r="D50" s="19">
        <v>850</v>
      </c>
      <c r="E50" s="24">
        <v>13500</v>
      </c>
      <c r="F50" s="29">
        <v>4000</v>
      </c>
      <c r="G50" s="25">
        <f t="shared" si="0"/>
        <v>17500</v>
      </c>
    </row>
    <row r="51" spans="1:7" s="13" customFormat="1" ht="63">
      <c r="A51" s="30" t="s">
        <v>48</v>
      </c>
      <c r="B51" s="23" t="s">
        <v>31</v>
      </c>
      <c r="C51" s="19" t="s">
        <v>49</v>
      </c>
      <c r="D51" s="19"/>
      <c r="E51" s="24">
        <f>E52</f>
        <v>0</v>
      </c>
      <c r="F51" s="29">
        <f>F52</f>
        <v>6297708</v>
      </c>
      <c r="G51" s="25">
        <f t="shared" si="0"/>
        <v>6297708</v>
      </c>
    </row>
    <row r="52" spans="1:7" s="13" customFormat="1" ht="78.75">
      <c r="A52" s="28" t="s">
        <v>18</v>
      </c>
      <c r="B52" s="23" t="s">
        <v>31</v>
      </c>
      <c r="C52" s="19" t="s">
        <v>49</v>
      </c>
      <c r="D52" s="19">
        <v>100</v>
      </c>
      <c r="E52" s="24">
        <f>E53</f>
        <v>0</v>
      </c>
      <c r="F52" s="29">
        <f>F53</f>
        <v>6297708</v>
      </c>
      <c r="G52" s="25">
        <f t="shared" si="0"/>
        <v>6297708</v>
      </c>
    </row>
    <row r="53" spans="1:7" s="13" customFormat="1" ht="31.5">
      <c r="A53" s="28" t="s">
        <v>20</v>
      </c>
      <c r="B53" s="23" t="s">
        <v>31</v>
      </c>
      <c r="C53" s="19" t="s">
        <v>49</v>
      </c>
      <c r="D53" s="19">
        <v>120</v>
      </c>
      <c r="E53" s="24">
        <v>0</v>
      </c>
      <c r="F53" s="29">
        <v>6297708</v>
      </c>
      <c r="G53" s="25">
        <f t="shared" si="0"/>
        <v>6297708</v>
      </c>
    </row>
    <row r="54" spans="1:7" s="13" customFormat="1" ht="47.25">
      <c r="A54" s="26" t="s">
        <v>50</v>
      </c>
      <c r="B54" s="23" t="s">
        <v>31</v>
      </c>
      <c r="C54" s="19" t="s">
        <v>51</v>
      </c>
      <c r="D54" s="23"/>
      <c r="E54" s="24">
        <f aca="true" t="shared" si="2" ref="E54:F56">E55</f>
        <v>0</v>
      </c>
      <c r="F54" s="24">
        <f t="shared" si="2"/>
        <v>114943</v>
      </c>
      <c r="G54" s="25">
        <f t="shared" si="0"/>
        <v>114943</v>
      </c>
    </row>
    <row r="55" spans="1:7" s="13" customFormat="1" ht="63">
      <c r="A55" s="26" t="s">
        <v>52</v>
      </c>
      <c r="B55" s="23" t="s">
        <v>31</v>
      </c>
      <c r="C55" s="19" t="s">
        <v>53</v>
      </c>
      <c r="D55" s="23"/>
      <c r="E55" s="24">
        <f t="shared" si="2"/>
        <v>0</v>
      </c>
      <c r="F55" s="24">
        <f t="shared" si="2"/>
        <v>114943</v>
      </c>
      <c r="G55" s="25">
        <f t="shared" si="0"/>
        <v>114943</v>
      </c>
    </row>
    <row r="56" spans="1:7" s="13" customFormat="1" ht="78.75">
      <c r="A56" s="28" t="s">
        <v>18</v>
      </c>
      <c r="B56" s="23" t="s">
        <v>31</v>
      </c>
      <c r="C56" s="19" t="s">
        <v>53</v>
      </c>
      <c r="D56" s="23" t="s">
        <v>19</v>
      </c>
      <c r="E56" s="24">
        <f t="shared" si="2"/>
        <v>0</v>
      </c>
      <c r="F56" s="24">
        <f t="shared" si="2"/>
        <v>114943</v>
      </c>
      <c r="G56" s="25">
        <f t="shared" si="0"/>
        <v>114943</v>
      </c>
    </row>
    <row r="57" spans="1:7" s="13" customFormat="1" ht="31.5">
      <c r="A57" s="28" t="s">
        <v>20</v>
      </c>
      <c r="B57" s="23" t="s">
        <v>31</v>
      </c>
      <c r="C57" s="19" t="s">
        <v>53</v>
      </c>
      <c r="D57" s="23" t="s">
        <v>21</v>
      </c>
      <c r="E57" s="24"/>
      <c r="F57" s="29">
        <v>114943</v>
      </c>
      <c r="G57" s="25">
        <f t="shared" si="0"/>
        <v>114943</v>
      </c>
    </row>
    <row r="58" spans="1:7" s="13" customFormat="1" ht="15.75">
      <c r="A58" s="33" t="s">
        <v>54</v>
      </c>
      <c r="B58" s="18" t="s">
        <v>55</v>
      </c>
      <c r="C58" s="34"/>
      <c r="D58" s="18"/>
      <c r="E58" s="20">
        <f aca="true" t="shared" si="3" ref="E58:F62">E59</f>
        <v>9738</v>
      </c>
      <c r="F58" s="20">
        <f t="shared" si="3"/>
        <v>0</v>
      </c>
      <c r="G58" s="21">
        <f t="shared" si="0"/>
        <v>9738</v>
      </c>
    </row>
    <row r="59" spans="1:7" s="13" customFormat="1" ht="15.75">
      <c r="A59" s="22" t="s">
        <v>12</v>
      </c>
      <c r="B59" s="23" t="s">
        <v>55</v>
      </c>
      <c r="C59" s="19" t="s">
        <v>13</v>
      </c>
      <c r="D59" s="23"/>
      <c r="E59" s="24">
        <f t="shared" si="3"/>
        <v>9738</v>
      </c>
      <c r="F59" s="24">
        <f t="shared" si="3"/>
        <v>0</v>
      </c>
      <c r="G59" s="25">
        <f t="shared" si="0"/>
        <v>9738</v>
      </c>
    </row>
    <row r="60" spans="1:7" s="13" customFormat="1" ht="47.25">
      <c r="A60" s="26" t="s">
        <v>50</v>
      </c>
      <c r="B60" s="23" t="s">
        <v>55</v>
      </c>
      <c r="C60" s="19" t="s">
        <v>51</v>
      </c>
      <c r="D60" s="19"/>
      <c r="E60" s="24">
        <f t="shared" si="3"/>
        <v>9738</v>
      </c>
      <c r="F60" s="24">
        <f t="shared" si="3"/>
        <v>0</v>
      </c>
      <c r="G60" s="25">
        <f t="shared" si="0"/>
        <v>9738</v>
      </c>
    </row>
    <row r="61" spans="1:7" s="13" customFormat="1" ht="47.25">
      <c r="A61" s="26" t="s">
        <v>56</v>
      </c>
      <c r="B61" s="23" t="s">
        <v>55</v>
      </c>
      <c r="C61" s="19" t="s">
        <v>57</v>
      </c>
      <c r="D61" s="23"/>
      <c r="E61" s="24">
        <f t="shared" si="3"/>
        <v>9738</v>
      </c>
      <c r="F61" s="24">
        <f t="shared" si="3"/>
        <v>0</v>
      </c>
      <c r="G61" s="25">
        <f t="shared" si="0"/>
        <v>9738</v>
      </c>
    </row>
    <row r="62" spans="1:7" s="13" customFormat="1" ht="31.5">
      <c r="A62" s="30" t="s">
        <v>58</v>
      </c>
      <c r="B62" s="23" t="s">
        <v>55</v>
      </c>
      <c r="C62" s="19" t="s">
        <v>57</v>
      </c>
      <c r="D62" s="23" t="s">
        <v>23</v>
      </c>
      <c r="E62" s="24">
        <f t="shared" si="3"/>
        <v>9738</v>
      </c>
      <c r="F62" s="24">
        <f t="shared" si="3"/>
        <v>0</v>
      </c>
      <c r="G62" s="25">
        <f t="shared" si="0"/>
        <v>9738</v>
      </c>
    </row>
    <row r="63" spans="1:7" s="13" customFormat="1" ht="31.5">
      <c r="A63" s="30" t="s">
        <v>24</v>
      </c>
      <c r="B63" s="23" t="s">
        <v>55</v>
      </c>
      <c r="C63" s="19" t="s">
        <v>57</v>
      </c>
      <c r="D63" s="23" t="s">
        <v>25</v>
      </c>
      <c r="E63" s="24">
        <v>9738</v>
      </c>
      <c r="F63" s="29">
        <v>0</v>
      </c>
      <c r="G63" s="25">
        <f t="shared" si="0"/>
        <v>9738</v>
      </c>
    </row>
    <row r="64" spans="1:7" s="13" customFormat="1" ht="47.25">
      <c r="A64" s="17" t="s">
        <v>59</v>
      </c>
      <c r="B64" s="18" t="s">
        <v>60</v>
      </c>
      <c r="C64" s="19"/>
      <c r="D64" s="19"/>
      <c r="E64" s="20">
        <f>E65</f>
        <v>42981000</v>
      </c>
      <c r="F64" s="20">
        <f>F65</f>
        <v>638000</v>
      </c>
      <c r="G64" s="21">
        <f t="shared" si="0"/>
        <v>43619000</v>
      </c>
    </row>
    <row r="65" spans="1:7" s="13" customFormat="1" ht="15.75">
      <c r="A65" s="22" t="s">
        <v>12</v>
      </c>
      <c r="B65" s="23" t="s">
        <v>60</v>
      </c>
      <c r="C65" s="19" t="s">
        <v>13</v>
      </c>
      <c r="D65" s="19"/>
      <c r="E65" s="24">
        <f>E66</f>
        <v>42981000</v>
      </c>
      <c r="F65" s="24">
        <f>F66</f>
        <v>638000</v>
      </c>
      <c r="G65" s="25">
        <f t="shared" si="0"/>
        <v>43619000</v>
      </c>
    </row>
    <row r="66" spans="1:7" s="13" customFormat="1" ht="31.5">
      <c r="A66" s="26" t="s">
        <v>14</v>
      </c>
      <c r="B66" s="23" t="s">
        <v>60</v>
      </c>
      <c r="C66" s="19" t="s">
        <v>15</v>
      </c>
      <c r="D66" s="19"/>
      <c r="E66" s="24">
        <f>E67+E74+E81</f>
        <v>42981000</v>
      </c>
      <c r="F66" s="24">
        <f>F67+F74+F81</f>
        <v>638000</v>
      </c>
      <c r="G66" s="25">
        <f t="shared" si="0"/>
        <v>43619000</v>
      </c>
    </row>
    <row r="67" spans="1:7" s="13" customFormat="1" ht="31.5">
      <c r="A67" s="26" t="s">
        <v>61</v>
      </c>
      <c r="B67" s="23" t="s">
        <v>60</v>
      </c>
      <c r="C67" s="19" t="s">
        <v>62</v>
      </c>
      <c r="D67" s="19"/>
      <c r="E67" s="24">
        <f>SUM(E68,E70,E72)</f>
        <v>13231000</v>
      </c>
      <c r="F67" s="24">
        <f>SUM(F68,F70,F72)</f>
        <v>0</v>
      </c>
      <c r="G67" s="25">
        <f t="shared" si="0"/>
        <v>13231000</v>
      </c>
    </row>
    <row r="68" spans="1:7" s="13" customFormat="1" ht="78.75">
      <c r="A68" s="28" t="s">
        <v>18</v>
      </c>
      <c r="B68" s="23" t="s">
        <v>60</v>
      </c>
      <c r="C68" s="19" t="s">
        <v>62</v>
      </c>
      <c r="D68" s="23" t="s">
        <v>19</v>
      </c>
      <c r="E68" s="29">
        <f>E69</f>
        <v>10626000</v>
      </c>
      <c r="F68" s="29">
        <f>F69</f>
        <v>0</v>
      </c>
      <c r="G68" s="25">
        <f t="shared" si="0"/>
        <v>10626000</v>
      </c>
    </row>
    <row r="69" spans="1:7" s="13" customFormat="1" ht="31.5">
      <c r="A69" s="28" t="s">
        <v>20</v>
      </c>
      <c r="B69" s="23" t="s">
        <v>60</v>
      </c>
      <c r="C69" s="19" t="s">
        <v>62</v>
      </c>
      <c r="D69" s="23" t="s">
        <v>21</v>
      </c>
      <c r="E69" s="29">
        <v>10626000</v>
      </c>
      <c r="F69" s="29">
        <v>0</v>
      </c>
      <c r="G69" s="25">
        <f t="shared" si="0"/>
        <v>10626000</v>
      </c>
    </row>
    <row r="70" spans="1:7" s="13" customFormat="1" ht="31.5">
      <c r="A70" s="30" t="s">
        <v>22</v>
      </c>
      <c r="B70" s="23" t="s">
        <v>60</v>
      </c>
      <c r="C70" s="19" t="s">
        <v>62</v>
      </c>
      <c r="D70" s="23" t="s">
        <v>23</v>
      </c>
      <c r="E70" s="29">
        <f>E71</f>
        <v>2573000</v>
      </c>
      <c r="F70" s="29">
        <f>F71</f>
        <v>-5000</v>
      </c>
      <c r="G70" s="25">
        <f t="shared" si="0"/>
        <v>2568000</v>
      </c>
    </row>
    <row r="71" spans="1:7" s="13" customFormat="1" ht="31.5">
      <c r="A71" s="30" t="s">
        <v>24</v>
      </c>
      <c r="B71" s="23" t="s">
        <v>60</v>
      </c>
      <c r="C71" s="19" t="s">
        <v>62</v>
      </c>
      <c r="D71" s="23" t="s">
        <v>25</v>
      </c>
      <c r="E71" s="29">
        <v>2573000</v>
      </c>
      <c r="F71" s="29">
        <v>-5000</v>
      </c>
      <c r="G71" s="25">
        <f aca="true" t="shared" si="4" ref="G71:G134">SUM(E71:F71)</f>
        <v>2568000</v>
      </c>
    </row>
    <row r="72" spans="1:7" s="13" customFormat="1" ht="15.75">
      <c r="A72" s="30" t="s">
        <v>26</v>
      </c>
      <c r="B72" s="23" t="s">
        <v>60</v>
      </c>
      <c r="C72" s="19" t="s">
        <v>62</v>
      </c>
      <c r="D72" s="23" t="s">
        <v>27</v>
      </c>
      <c r="E72" s="29">
        <f>E73</f>
        <v>32000</v>
      </c>
      <c r="F72" s="29">
        <f>F73</f>
        <v>5000</v>
      </c>
      <c r="G72" s="25">
        <f t="shared" si="4"/>
        <v>37000</v>
      </c>
    </row>
    <row r="73" spans="1:7" s="13" customFormat="1" ht="15.75">
      <c r="A73" s="30" t="s">
        <v>28</v>
      </c>
      <c r="B73" s="23" t="s">
        <v>60</v>
      </c>
      <c r="C73" s="19" t="s">
        <v>62</v>
      </c>
      <c r="D73" s="23" t="s">
        <v>29</v>
      </c>
      <c r="E73" s="29">
        <v>32000</v>
      </c>
      <c r="F73" s="29">
        <v>5000</v>
      </c>
      <c r="G73" s="25">
        <f t="shared" si="4"/>
        <v>37000</v>
      </c>
    </row>
    <row r="74" spans="1:7" s="13" customFormat="1" ht="31.5">
      <c r="A74" s="26" t="s">
        <v>63</v>
      </c>
      <c r="B74" s="23" t="s">
        <v>60</v>
      </c>
      <c r="C74" s="19" t="s">
        <v>64</v>
      </c>
      <c r="D74" s="19"/>
      <c r="E74" s="24">
        <f>SUM(E75,E77,E79)</f>
        <v>29750000</v>
      </c>
      <c r="F74" s="24">
        <f>SUM(F75,F77,F79)</f>
        <v>0</v>
      </c>
      <c r="G74" s="25">
        <f t="shared" si="4"/>
        <v>29750000</v>
      </c>
    </row>
    <row r="75" spans="1:7" s="13" customFormat="1" ht="78.75">
      <c r="A75" s="28" t="s">
        <v>18</v>
      </c>
      <c r="B75" s="23" t="s">
        <v>60</v>
      </c>
      <c r="C75" s="19" t="s">
        <v>64</v>
      </c>
      <c r="D75" s="23" t="s">
        <v>19</v>
      </c>
      <c r="E75" s="24">
        <f>E76</f>
        <v>26000000</v>
      </c>
      <c r="F75" s="24">
        <f>F76</f>
        <v>220000</v>
      </c>
      <c r="G75" s="25">
        <f t="shared" si="4"/>
        <v>26220000</v>
      </c>
    </row>
    <row r="76" spans="1:7" s="13" customFormat="1" ht="31.5">
      <c r="A76" s="28" t="s">
        <v>20</v>
      </c>
      <c r="B76" s="23" t="s">
        <v>60</v>
      </c>
      <c r="C76" s="19" t="s">
        <v>64</v>
      </c>
      <c r="D76" s="23" t="s">
        <v>21</v>
      </c>
      <c r="E76" s="24">
        <v>26000000</v>
      </c>
      <c r="F76" s="29">
        <v>220000</v>
      </c>
      <c r="G76" s="25">
        <f t="shared" si="4"/>
        <v>26220000</v>
      </c>
    </row>
    <row r="77" spans="1:7" s="13" customFormat="1" ht="31.5">
      <c r="A77" s="30" t="s">
        <v>22</v>
      </c>
      <c r="B77" s="23" t="s">
        <v>60</v>
      </c>
      <c r="C77" s="19" t="s">
        <v>64</v>
      </c>
      <c r="D77" s="23" t="s">
        <v>23</v>
      </c>
      <c r="E77" s="24">
        <f>E78</f>
        <v>3700000</v>
      </c>
      <c r="F77" s="24">
        <f>F78</f>
        <v>-220000</v>
      </c>
      <c r="G77" s="25">
        <f t="shared" si="4"/>
        <v>3480000</v>
      </c>
    </row>
    <row r="78" spans="1:7" s="13" customFormat="1" ht="31.5">
      <c r="A78" s="30" t="s">
        <v>24</v>
      </c>
      <c r="B78" s="23" t="s">
        <v>60</v>
      </c>
      <c r="C78" s="19" t="s">
        <v>64</v>
      </c>
      <c r="D78" s="23" t="s">
        <v>25</v>
      </c>
      <c r="E78" s="24">
        <v>3700000</v>
      </c>
      <c r="F78" s="29">
        <v>-220000</v>
      </c>
      <c r="G78" s="25">
        <f t="shared" si="4"/>
        <v>3480000</v>
      </c>
    </row>
    <row r="79" spans="1:7" s="13" customFormat="1" ht="15.75">
      <c r="A79" s="30" t="s">
        <v>26</v>
      </c>
      <c r="B79" s="23" t="s">
        <v>60</v>
      </c>
      <c r="C79" s="19" t="s">
        <v>64</v>
      </c>
      <c r="D79" s="23" t="s">
        <v>27</v>
      </c>
      <c r="E79" s="24">
        <f>E80</f>
        <v>50000</v>
      </c>
      <c r="F79" s="24">
        <f>F80</f>
        <v>0</v>
      </c>
      <c r="G79" s="25">
        <f t="shared" si="4"/>
        <v>50000</v>
      </c>
    </row>
    <row r="80" spans="1:7" s="13" customFormat="1" ht="15.75">
      <c r="A80" s="30" t="s">
        <v>28</v>
      </c>
      <c r="B80" s="23" t="s">
        <v>60</v>
      </c>
      <c r="C80" s="19" t="s">
        <v>64</v>
      </c>
      <c r="D80" s="23" t="s">
        <v>29</v>
      </c>
      <c r="E80" s="24">
        <v>50000</v>
      </c>
      <c r="F80" s="29">
        <v>0</v>
      </c>
      <c r="G80" s="25">
        <f t="shared" si="4"/>
        <v>50000</v>
      </c>
    </row>
    <row r="81" spans="1:7" s="13" customFormat="1" ht="63">
      <c r="A81" s="35" t="s">
        <v>48</v>
      </c>
      <c r="B81" s="23" t="s">
        <v>60</v>
      </c>
      <c r="C81" s="36" t="s">
        <v>49</v>
      </c>
      <c r="D81" s="37"/>
      <c r="E81" s="38">
        <f>E82</f>
        <v>0</v>
      </c>
      <c r="F81" s="38">
        <f>F82</f>
        <v>638000</v>
      </c>
      <c r="G81" s="25">
        <f t="shared" si="4"/>
        <v>638000</v>
      </c>
    </row>
    <row r="82" spans="1:7" s="13" customFormat="1" ht="78.75">
      <c r="A82" s="28" t="s">
        <v>18</v>
      </c>
      <c r="B82" s="23" t="s">
        <v>60</v>
      </c>
      <c r="C82" s="36" t="s">
        <v>49</v>
      </c>
      <c r="D82" s="23" t="s">
        <v>19</v>
      </c>
      <c r="E82" s="38">
        <f>E83</f>
        <v>0</v>
      </c>
      <c r="F82" s="38">
        <f>F83</f>
        <v>638000</v>
      </c>
      <c r="G82" s="25">
        <f t="shared" si="4"/>
        <v>638000</v>
      </c>
    </row>
    <row r="83" spans="1:7" s="13" customFormat="1" ht="31.5">
      <c r="A83" s="28" t="s">
        <v>20</v>
      </c>
      <c r="B83" s="23" t="s">
        <v>60</v>
      </c>
      <c r="C83" s="36" t="s">
        <v>49</v>
      </c>
      <c r="D83" s="23" t="s">
        <v>21</v>
      </c>
      <c r="E83" s="38">
        <v>0</v>
      </c>
      <c r="F83" s="38">
        <v>638000</v>
      </c>
      <c r="G83" s="25">
        <f t="shared" si="4"/>
        <v>638000</v>
      </c>
    </row>
    <row r="84" spans="1:7" s="13" customFormat="1" ht="15.75">
      <c r="A84" s="39" t="s">
        <v>65</v>
      </c>
      <c r="B84" s="40" t="s">
        <v>66</v>
      </c>
      <c r="C84" s="40"/>
      <c r="D84" s="40"/>
      <c r="E84" s="41">
        <f>E85</f>
        <v>8081300</v>
      </c>
      <c r="F84" s="41">
        <f>F85</f>
        <v>315000</v>
      </c>
      <c r="G84" s="21">
        <f t="shared" si="4"/>
        <v>8396300</v>
      </c>
    </row>
    <row r="85" spans="1:7" s="13" customFormat="1" ht="15.75">
      <c r="A85" s="42" t="s">
        <v>12</v>
      </c>
      <c r="B85" s="43" t="s">
        <v>66</v>
      </c>
      <c r="C85" s="43" t="s">
        <v>13</v>
      </c>
      <c r="D85" s="43"/>
      <c r="E85" s="24">
        <f>E86+E90</f>
        <v>8081300</v>
      </c>
      <c r="F85" s="24">
        <f>F86+F90</f>
        <v>315000</v>
      </c>
      <c r="G85" s="25">
        <f t="shared" si="4"/>
        <v>8396300</v>
      </c>
    </row>
    <row r="86" spans="1:7" s="13" customFormat="1" ht="31.5">
      <c r="A86" s="42" t="s">
        <v>67</v>
      </c>
      <c r="B86" s="43" t="s">
        <v>66</v>
      </c>
      <c r="C86" s="43" t="s">
        <v>68</v>
      </c>
      <c r="D86" s="43"/>
      <c r="E86" s="24">
        <f aca="true" t="shared" si="5" ref="E86:F88">E87</f>
        <v>8081300</v>
      </c>
      <c r="F86" s="24">
        <f t="shared" si="5"/>
        <v>0</v>
      </c>
      <c r="G86" s="25">
        <f t="shared" si="4"/>
        <v>8081300</v>
      </c>
    </row>
    <row r="87" spans="1:7" s="13" customFormat="1" ht="31.5">
      <c r="A87" s="42" t="s">
        <v>69</v>
      </c>
      <c r="B87" s="43" t="s">
        <v>66</v>
      </c>
      <c r="C87" s="43" t="s">
        <v>70</v>
      </c>
      <c r="D87" s="43"/>
      <c r="E87" s="24">
        <f t="shared" si="5"/>
        <v>8081300</v>
      </c>
      <c r="F87" s="24">
        <f t="shared" si="5"/>
        <v>0</v>
      </c>
      <c r="G87" s="25">
        <f t="shared" si="4"/>
        <v>8081300</v>
      </c>
    </row>
    <row r="88" spans="1:7" s="13" customFormat="1" ht="15.75">
      <c r="A88" s="42" t="s">
        <v>26</v>
      </c>
      <c r="B88" s="43" t="s">
        <v>66</v>
      </c>
      <c r="C88" s="43" t="s">
        <v>70</v>
      </c>
      <c r="D88" s="43" t="s">
        <v>27</v>
      </c>
      <c r="E88" s="24">
        <f t="shared" si="5"/>
        <v>8081300</v>
      </c>
      <c r="F88" s="24">
        <f t="shared" si="5"/>
        <v>0</v>
      </c>
      <c r="G88" s="25">
        <f t="shared" si="4"/>
        <v>8081300</v>
      </c>
    </row>
    <row r="89" spans="1:7" s="13" customFormat="1" ht="15.75">
      <c r="A89" s="42" t="s">
        <v>71</v>
      </c>
      <c r="B89" s="43" t="s">
        <v>66</v>
      </c>
      <c r="C89" s="43" t="s">
        <v>70</v>
      </c>
      <c r="D89" s="43" t="s">
        <v>72</v>
      </c>
      <c r="E89" s="24">
        <v>8081300</v>
      </c>
      <c r="F89" s="29">
        <v>0</v>
      </c>
      <c r="G89" s="25">
        <f t="shared" si="4"/>
        <v>8081300</v>
      </c>
    </row>
    <row r="90" spans="1:7" s="13" customFormat="1" ht="47.25">
      <c r="A90" s="42" t="s">
        <v>50</v>
      </c>
      <c r="B90" s="43" t="s">
        <v>66</v>
      </c>
      <c r="C90" s="43" t="s">
        <v>51</v>
      </c>
      <c r="D90" s="43"/>
      <c r="E90" s="24">
        <f aca="true" t="shared" si="6" ref="E90:F92">E91</f>
        <v>0</v>
      </c>
      <c r="F90" s="24">
        <f t="shared" si="6"/>
        <v>315000</v>
      </c>
      <c r="G90" s="25">
        <f t="shared" si="4"/>
        <v>315000</v>
      </c>
    </row>
    <row r="91" spans="1:7" s="13" customFormat="1" ht="47.25">
      <c r="A91" s="42" t="s">
        <v>73</v>
      </c>
      <c r="B91" s="43" t="s">
        <v>66</v>
      </c>
      <c r="C91" s="43" t="s">
        <v>74</v>
      </c>
      <c r="D91" s="43"/>
      <c r="E91" s="24">
        <f t="shared" si="6"/>
        <v>0</v>
      </c>
      <c r="F91" s="24">
        <f t="shared" si="6"/>
        <v>315000</v>
      </c>
      <c r="G91" s="25">
        <f t="shared" si="4"/>
        <v>315000</v>
      </c>
    </row>
    <row r="92" spans="1:7" s="13" customFormat="1" ht="15.75">
      <c r="A92" s="42" t="s">
        <v>26</v>
      </c>
      <c r="B92" s="43" t="s">
        <v>66</v>
      </c>
      <c r="C92" s="43" t="s">
        <v>74</v>
      </c>
      <c r="D92" s="43" t="s">
        <v>27</v>
      </c>
      <c r="E92" s="24">
        <f t="shared" si="6"/>
        <v>0</v>
      </c>
      <c r="F92" s="24">
        <f t="shared" si="6"/>
        <v>315000</v>
      </c>
      <c r="G92" s="25">
        <f t="shared" si="4"/>
        <v>315000</v>
      </c>
    </row>
    <row r="93" spans="1:7" s="13" customFormat="1" ht="15.75">
      <c r="A93" s="42" t="s">
        <v>71</v>
      </c>
      <c r="B93" s="43" t="s">
        <v>66</v>
      </c>
      <c r="C93" s="43" t="s">
        <v>74</v>
      </c>
      <c r="D93" s="43" t="s">
        <v>72</v>
      </c>
      <c r="E93" s="24">
        <v>0</v>
      </c>
      <c r="F93" s="24">
        <v>315000</v>
      </c>
      <c r="G93" s="25">
        <f t="shared" si="4"/>
        <v>315000</v>
      </c>
    </row>
    <row r="94" spans="1:7" s="13" customFormat="1" ht="15.75">
      <c r="A94" s="17" t="s">
        <v>75</v>
      </c>
      <c r="B94" s="18" t="s">
        <v>76</v>
      </c>
      <c r="C94" s="19"/>
      <c r="D94" s="19"/>
      <c r="E94" s="20">
        <f>E95</f>
        <v>10000000</v>
      </c>
      <c r="F94" s="20">
        <f>F95</f>
        <v>-2737193.74</v>
      </c>
      <c r="G94" s="21">
        <f t="shared" si="4"/>
        <v>7262806.26</v>
      </c>
    </row>
    <row r="95" spans="1:7" s="13" customFormat="1" ht="15.75">
      <c r="A95" s="22" t="s">
        <v>12</v>
      </c>
      <c r="B95" s="23" t="s">
        <v>76</v>
      </c>
      <c r="C95" s="19" t="s">
        <v>13</v>
      </c>
      <c r="D95" s="19"/>
      <c r="E95" s="24">
        <f>E96</f>
        <v>10000000</v>
      </c>
      <c r="F95" s="24">
        <f>F96</f>
        <v>-2737193.74</v>
      </c>
      <c r="G95" s="25">
        <f t="shared" si="4"/>
        <v>7262806.26</v>
      </c>
    </row>
    <row r="96" spans="1:7" s="13" customFormat="1" ht="15.75">
      <c r="A96" s="26" t="s">
        <v>77</v>
      </c>
      <c r="B96" s="23" t="s">
        <v>76</v>
      </c>
      <c r="C96" s="19" t="s">
        <v>78</v>
      </c>
      <c r="D96" s="19"/>
      <c r="E96" s="24">
        <f>SUM(E97,E100)</f>
        <v>10000000</v>
      </c>
      <c r="F96" s="24">
        <f>SUM(F97,F100)</f>
        <v>-2737193.74</v>
      </c>
      <c r="G96" s="25">
        <f t="shared" si="4"/>
        <v>7262806.26</v>
      </c>
    </row>
    <row r="97" spans="1:7" s="13" customFormat="1" ht="15.75">
      <c r="A97" s="26" t="s">
        <v>79</v>
      </c>
      <c r="B97" s="23" t="s">
        <v>76</v>
      </c>
      <c r="C97" s="19" t="s">
        <v>80</v>
      </c>
      <c r="D97" s="19"/>
      <c r="E97" s="24">
        <f>E98</f>
        <v>7200000</v>
      </c>
      <c r="F97" s="24">
        <f>F98</f>
        <v>-720003.74</v>
      </c>
      <c r="G97" s="25">
        <f t="shared" si="4"/>
        <v>6479996.26</v>
      </c>
    </row>
    <row r="98" spans="1:7" s="13" customFormat="1" ht="15.75">
      <c r="A98" s="30" t="s">
        <v>26</v>
      </c>
      <c r="B98" s="23" t="s">
        <v>76</v>
      </c>
      <c r="C98" s="19" t="s">
        <v>80</v>
      </c>
      <c r="D98" s="19">
        <v>800</v>
      </c>
      <c r="E98" s="24">
        <f>E99</f>
        <v>7200000</v>
      </c>
      <c r="F98" s="24">
        <f>F99</f>
        <v>-720003.74</v>
      </c>
      <c r="G98" s="25">
        <f t="shared" si="4"/>
        <v>6479996.26</v>
      </c>
    </row>
    <row r="99" spans="1:7" s="13" customFormat="1" ht="15.75">
      <c r="A99" s="26" t="s">
        <v>81</v>
      </c>
      <c r="B99" s="23" t="s">
        <v>76</v>
      </c>
      <c r="C99" s="19" t="s">
        <v>80</v>
      </c>
      <c r="D99" s="19">
        <v>870</v>
      </c>
      <c r="E99" s="24">
        <v>7200000</v>
      </c>
      <c r="F99" s="29">
        <f>-68400-651603.74</f>
        <v>-720003.74</v>
      </c>
      <c r="G99" s="25">
        <f t="shared" si="4"/>
        <v>6479996.26</v>
      </c>
    </row>
    <row r="100" spans="1:7" s="13" customFormat="1" ht="47.25">
      <c r="A100" s="26" t="s">
        <v>82</v>
      </c>
      <c r="B100" s="23" t="s">
        <v>76</v>
      </c>
      <c r="C100" s="19" t="s">
        <v>83</v>
      </c>
      <c r="D100" s="19"/>
      <c r="E100" s="24">
        <f>E101</f>
        <v>2800000</v>
      </c>
      <c r="F100" s="24">
        <f>F101</f>
        <v>-2017190</v>
      </c>
      <c r="G100" s="25">
        <f t="shared" si="4"/>
        <v>782810</v>
      </c>
    </row>
    <row r="101" spans="1:7" s="13" customFormat="1" ht="15.75">
      <c r="A101" s="30" t="s">
        <v>26</v>
      </c>
      <c r="B101" s="23" t="s">
        <v>76</v>
      </c>
      <c r="C101" s="19" t="s">
        <v>83</v>
      </c>
      <c r="D101" s="19">
        <v>800</v>
      </c>
      <c r="E101" s="24">
        <f>E102</f>
        <v>2800000</v>
      </c>
      <c r="F101" s="24">
        <f>F102</f>
        <v>-2017190</v>
      </c>
      <c r="G101" s="25">
        <f t="shared" si="4"/>
        <v>782810</v>
      </c>
    </row>
    <row r="102" spans="1:7" s="13" customFormat="1" ht="15.75">
      <c r="A102" s="26" t="s">
        <v>81</v>
      </c>
      <c r="B102" s="23" t="s">
        <v>76</v>
      </c>
      <c r="C102" s="19" t="s">
        <v>83</v>
      </c>
      <c r="D102" s="19">
        <v>870</v>
      </c>
      <c r="E102" s="24">
        <v>2800000</v>
      </c>
      <c r="F102" s="29">
        <v>-2017190</v>
      </c>
      <c r="G102" s="25">
        <f t="shared" si="4"/>
        <v>782810</v>
      </c>
    </row>
    <row r="103" spans="1:7" s="13" customFormat="1" ht="15.75">
      <c r="A103" s="17" t="s">
        <v>84</v>
      </c>
      <c r="B103" s="18" t="s">
        <v>85</v>
      </c>
      <c r="C103" s="44"/>
      <c r="D103" s="44"/>
      <c r="E103" s="20">
        <f>SUM(E104,E108,E120,E124,E135,E154)</f>
        <v>129605895.2</v>
      </c>
      <c r="F103" s="20">
        <f>SUM(F104,F108,F120,F124,F135,F154)</f>
        <v>65699229.04999999</v>
      </c>
      <c r="G103" s="21">
        <f t="shared" si="4"/>
        <v>195305124.25</v>
      </c>
    </row>
    <row r="104" spans="1:7" s="13" customFormat="1" ht="47.25">
      <c r="A104" s="26" t="s">
        <v>86</v>
      </c>
      <c r="B104" s="45" t="s">
        <v>85</v>
      </c>
      <c r="C104" s="19" t="s">
        <v>87</v>
      </c>
      <c r="D104" s="44"/>
      <c r="E104" s="24">
        <f aca="true" t="shared" si="7" ref="E104:F106">SUM(E105)</f>
        <v>11500000</v>
      </c>
      <c r="F104" s="24">
        <f t="shared" si="7"/>
        <v>0</v>
      </c>
      <c r="G104" s="25">
        <f t="shared" si="4"/>
        <v>11500000</v>
      </c>
    </row>
    <row r="105" spans="1:7" s="13" customFormat="1" ht="31.5">
      <c r="A105" s="26" t="s">
        <v>88</v>
      </c>
      <c r="B105" s="45" t="s">
        <v>85</v>
      </c>
      <c r="C105" s="19" t="s">
        <v>89</v>
      </c>
      <c r="D105" s="44"/>
      <c r="E105" s="24">
        <f t="shared" si="7"/>
        <v>11500000</v>
      </c>
      <c r="F105" s="24">
        <f t="shared" si="7"/>
        <v>0</v>
      </c>
      <c r="G105" s="25">
        <f t="shared" si="4"/>
        <v>11500000</v>
      </c>
    </row>
    <row r="106" spans="1:7" s="13" customFormat="1" ht="15.75">
      <c r="A106" s="26" t="s">
        <v>26</v>
      </c>
      <c r="B106" s="45" t="s">
        <v>85</v>
      </c>
      <c r="C106" s="19" t="s">
        <v>89</v>
      </c>
      <c r="D106" s="23" t="s">
        <v>27</v>
      </c>
      <c r="E106" s="24">
        <f t="shared" si="7"/>
        <v>11500000</v>
      </c>
      <c r="F106" s="24">
        <f t="shared" si="7"/>
        <v>0</v>
      </c>
      <c r="G106" s="25">
        <f t="shared" si="4"/>
        <v>11500000</v>
      </c>
    </row>
    <row r="107" spans="1:7" s="13" customFormat="1" ht="15.75">
      <c r="A107" s="26" t="s">
        <v>71</v>
      </c>
      <c r="B107" s="45" t="s">
        <v>85</v>
      </c>
      <c r="C107" s="19" t="s">
        <v>89</v>
      </c>
      <c r="D107" s="23" t="s">
        <v>72</v>
      </c>
      <c r="E107" s="24">
        <v>11500000</v>
      </c>
      <c r="F107" s="29">
        <v>0</v>
      </c>
      <c r="G107" s="25">
        <f t="shared" si="4"/>
        <v>11500000</v>
      </c>
    </row>
    <row r="108" spans="1:7" s="13" customFormat="1" ht="31.5">
      <c r="A108" s="26" t="s">
        <v>90</v>
      </c>
      <c r="B108" s="23" t="s">
        <v>85</v>
      </c>
      <c r="C108" s="19" t="s">
        <v>91</v>
      </c>
      <c r="D108" s="19"/>
      <c r="E108" s="24">
        <f>SUM(E109)</f>
        <v>44348000</v>
      </c>
      <c r="F108" s="24">
        <f>SUM(F109)</f>
        <v>-2689220.5400000005</v>
      </c>
      <c r="G108" s="25">
        <f t="shared" si="4"/>
        <v>41658779.46</v>
      </c>
    </row>
    <row r="109" spans="1:7" s="13" customFormat="1" ht="15.75">
      <c r="A109" s="46" t="s">
        <v>92</v>
      </c>
      <c r="B109" s="23" t="s">
        <v>85</v>
      </c>
      <c r="C109" s="19" t="s">
        <v>93</v>
      </c>
      <c r="D109" s="19"/>
      <c r="E109" s="24">
        <f>SUM(E110,E117)</f>
        <v>44348000</v>
      </c>
      <c r="F109" s="24">
        <f>SUM(F110,F117)</f>
        <v>-2689220.5400000005</v>
      </c>
      <c r="G109" s="25">
        <f t="shared" si="4"/>
        <v>41658779.46</v>
      </c>
    </row>
    <row r="110" spans="1:7" s="13" customFormat="1" ht="15.75">
      <c r="A110" s="46" t="s">
        <v>94</v>
      </c>
      <c r="B110" s="23" t="s">
        <v>85</v>
      </c>
      <c r="C110" s="19" t="s">
        <v>95</v>
      </c>
      <c r="D110" s="19"/>
      <c r="E110" s="24">
        <f>SUM(E111,E113,E115)</f>
        <v>42348000</v>
      </c>
      <c r="F110" s="24">
        <f>SUM(F111,F113,F115)</f>
        <v>-2632093.5700000003</v>
      </c>
      <c r="G110" s="25">
        <f t="shared" si="4"/>
        <v>39715906.43</v>
      </c>
    </row>
    <row r="111" spans="1:7" s="32" customFormat="1" ht="78.75">
      <c r="A111" s="28" t="s">
        <v>18</v>
      </c>
      <c r="B111" s="23" t="s">
        <v>85</v>
      </c>
      <c r="C111" s="19" t="s">
        <v>95</v>
      </c>
      <c r="D111" s="19">
        <v>100</v>
      </c>
      <c r="E111" s="24">
        <f>E112</f>
        <v>14948000</v>
      </c>
      <c r="F111" s="24">
        <f>F112</f>
        <v>911400</v>
      </c>
      <c r="G111" s="25">
        <f t="shared" si="4"/>
        <v>15859400</v>
      </c>
    </row>
    <row r="112" spans="1:7" s="13" customFormat="1" ht="15.75">
      <c r="A112" s="28" t="s">
        <v>96</v>
      </c>
      <c r="B112" s="23" t="s">
        <v>85</v>
      </c>
      <c r="C112" s="19" t="s">
        <v>95</v>
      </c>
      <c r="D112" s="19">
        <v>110</v>
      </c>
      <c r="E112" s="24">
        <v>14948000</v>
      </c>
      <c r="F112" s="29">
        <v>911400</v>
      </c>
      <c r="G112" s="25">
        <f t="shared" si="4"/>
        <v>15859400</v>
      </c>
    </row>
    <row r="113" spans="1:7" s="13" customFormat="1" ht="31.5">
      <c r="A113" s="30" t="s">
        <v>22</v>
      </c>
      <c r="B113" s="23" t="s">
        <v>85</v>
      </c>
      <c r="C113" s="19" t="s">
        <v>95</v>
      </c>
      <c r="D113" s="19">
        <v>200</v>
      </c>
      <c r="E113" s="24">
        <f>E114</f>
        <v>27000000</v>
      </c>
      <c r="F113" s="24">
        <f>F114</f>
        <v>-3300034.5700000003</v>
      </c>
      <c r="G113" s="25">
        <f t="shared" si="4"/>
        <v>23699965.43</v>
      </c>
    </row>
    <row r="114" spans="1:7" s="13" customFormat="1" ht="31.5">
      <c r="A114" s="30" t="s">
        <v>24</v>
      </c>
      <c r="B114" s="23" t="s">
        <v>85</v>
      </c>
      <c r="C114" s="19" t="s">
        <v>95</v>
      </c>
      <c r="D114" s="19">
        <v>240</v>
      </c>
      <c r="E114" s="24">
        <v>27000000</v>
      </c>
      <c r="F114" s="29">
        <f>-349090.03-1500000-1450944.54</f>
        <v>-3300034.5700000003</v>
      </c>
      <c r="G114" s="25">
        <f t="shared" si="4"/>
        <v>23699965.43</v>
      </c>
    </row>
    <row r="115" spans="1:7" s="13" customFormat="1" ht="15.75">
      <c r="A115" s="30" t="s">
        <v>26</v>
      </c>
      <c r="B115" s="23" t="s">
        <v>85</v>
      </c>
      <c r="C115" s="19" t="s">
        <v>95</v>
      </c>
      <c r="D115" s="19">
        <v>800</v>
      </c>
      <c r="E115" s="24">
        <f>E116</f>
        <v>400000</v>
      </c>
      <c r="F115" s="24">
        <f>F116</f>
        <v>-243459</v>
      </c>
      <c r="G115" s="25">
        <f t="shared" si="4"/>
        <v>156541</v>
      </c>
    </row>
    <row r="116" spans="1:7" s="13" customFormat="1" ht="15.75">
      <c r="A116" s="30" t="s">
        <v>28</v>
      </c>
      <c r="B116" s="23" t="s">
        <v>85</v>
      </c>
      <c r="C116" s="19" t="s">
        <v>95</v>
      </c>
      <c r="D116" s="19">
        <v>850</v>
      </c>
      <c r="E116" s="24">
        <v>400000</v>
      </c>
      <c r="F116" s="29">
        <v>-243459</v>
      </c>
      <c r="G116" s="25">
        <f t="shared" si="4"/>
        <v>156541</v>
      </c>
    </row>
    <row r="117" spans="1:7" s="13" customFormat="1" ht="31.5">
      <c r="A117" s="46" t="s">
        <v>97</v>
      </c>
      <c r="B117" s="23" t="s">
        <v>85</v>
      </c>
      <c r="C117" s="19" t="s">
        <v>98</v>
      </c>
      <c r="D117" s="19"/>
      <c r="E117" s="24">
        <f>E118</f>
        <v>2000000</v>
      </c>
      <c r="F117" s="24">
        <f>F118</f>
        <v>-57126.97</v>
      </c>
      <c r="G117" s="25">
        <f t="shared" si="4"/>
        <v>1942873.03</v>
      </c>
    </row>
    <row r="118" spans="1:7" s="13" customFormat="1" ht="31.5">
      <c r="A118" s="30" t="s">
        <v>22</v>
      </c>
      <c r="B118" s="23" t="s">
        <v>85</v>
      </c>
      <c r="C118" s="19" t="s">
        <v>98</v>
      </c>
      <c r="D118" s="19">
        <v>200</v>
      </c>
      <c r="E118" s="24">
        <f>E119</f>
        <v>2000000</v>
      </c>
      <c r="F118" s="24">
        <f>F119</f>
        <v>-57126.97</v>
      </c>
      <c r="G118" s="25">
        <f t="shared" si="4"/>
        <v>1942873.03</v>
      </c>
    </row>
    <row r="119" spans="1:7" s="13" customFormat="1" ht="31.5">
      <c r="A119" s="30" t="s">
        <v>24</v>
      </c>
      <c r="B119" s="23" t="s">
        <v>85</v>
      </c>
      <c r="C119" s="19" t="s">
        <v>98</v>
      </c>
      <c r="D119" s="19">
        <v>240</v>
      </c>
      <c r="E119" s="29">
        <v>2000000</v>
      </c>
      <c r="F119" s="29">
        <v>-57126.97</v>
      </c>
      <c r="G119" s="25">
        <f t="shared" si="4"/>
        <v>1942873.03</v>
      </c>
    </row>
    <row r="120" spans="1:7" s="13" customFormat="1" ht="31.5">
      <c r="A120" s="26" t="s">
        <v>99</v>
      </c>
      <c r="B120" s="23" t="s">
        <v>85</v>
      </c>
      <c r="C120" s="19" t="s">
        <v>100</v>
      </c>
      <c r="D120" s="19"/>
      <c r="E120" s="29">
        <f aca="true" t="shared" si="8" ref="E120:F122">E121</f>
        <v>0</v>
      </c>
      <c r="F120" s="29">
        <f t="shared" si="8"/>
        <v>16510</v>
      </c>
      <c r="G120" s="25">
        <f t="shared" si="4"/>
        <v>16510</v>
      </c>
    </row>
    <row r="121" spans="1:7" s="13" customFormat="1" ht="31.5">
      <c r="A121" s="30" t="s">
        <v>101</v>
      </c>
      <c r="B121" s="23" t="s">
        <v>85</v>
      </c>
      <c r="C121" s="19" t="s">
        <v>102</v>
      </c>
      <c r="D121" s="19"/>
      <c r="E121" s="24">
        <f t="shared" si="8"/>
        <v>0</v>
      </c>
      <c r="F121" s="24">
        <f t="shared" si="8"/>
        <v>16510</v>
      </c>
      <c r="G121" s="25">
        <f t="shared" si="4"/>
        <v>16510</v>
      </c>
    </row>
    <row r="122" spans="1:7" s="13" customFormat="1" ht="31.5">
      <c r="A122" s="30" t="s">
        <v>103</v>
      </c>
      <c r="B122" s="23" t="s">
        <v>85</v>
      </c>
      <c r="C122" s="19" t="s">
        <v>102</v>
      </c>
      <c r="D122" s="19">
        <v>600</v>
      </c>
      <c r="E122" s="24">
        <f t="shared" si="8"/>
        <v>0</v>
      </c>
      <c r="F122" s="24">
        <f t="shared" si="8"/>
        <v>16510</v>
      </c>
      <c r="G122" s="25">
        <f t="shared" si="4"/>
        <v>16510</v>
      </c>
    </row>
    <row r="123" spans="1:7" s="13" customFormat="1" ht="15.75">
      <c r="A123" s="30" t="s">
        <v>104</v>
      </c>
      <c r="B123" s="23" t="s">
        <v>85</v>
      </c>
      <c r="C123" s="19" t="s">
        <v>102</v>
      </c>
      <c r="D123" s="19">
        <v>610</v>
      </c>
      <c r="E123" s="24">
        <v>0</v>
      </c>
      <c r="F123" s="29">
        <v>16510</v>
      </c>
      <c r="G123" s="25">
        <f t="shared" si="4"/>
        <v>16510</v>
      </c>
    </row>
    <row r="124" spans="1:7" s="13" customFormat="1" ht="31.5">
      <c r="A124" s="26" t="s">
        <v>105</v>
      </c>
      <c r="B124" s="23" t="s">
        <v>85</v>
      </c>
      <c r="C124" s="19" t="s">
        <v>106</v>
      </c>
      <c r="D124" s="19"/>
      <c r="E124" s="24">
        <f>SUM(E125)</f>
        <v>1400000</v>
      </c>
      <c r="F124" s="24">
        <f>SUM(F125)</f>
        <v>380000</v>
      </c>
      <c r="G124" s="25">
        <f t="shared" si="4"/>
        <v>1780000</v>
      </c>
    </row>
    <row r="125" spans="1:7" s="13" customFormat="1" ht="47.25">
      <c r="A125" s="46" t="s">
        <v>107</v>
      </c>
      <c r="B125" s="23" t="s">
        <v>85</v>
      </c>
      <c r="C125" s="19" t="s">
        <v>108</v>
      </c>
      <c r="D125" s="19"/>
      <c r="E125" s="24">
        <f>SUM(E126,E129,E132)</f>
        <v>1400000</v>
      </c>
      <c r="F125" s="24">
        <f>SUM(F126,F129,F132)</f>
        <v>380000</v>
      </c>
      <c r="G125" s="25">
        <f t="shared" si="4"/>
        <v>1780000</v>
      </c>
    </row>
    <row r="126" spans="1:7" s="32" customFormat="1" ht="31.5">
      <c r="A126" s="46" t="s">
        <v>109</v>
      </c>
      <c r="B126" s="23" t="s">
        <v>85</v>
      </c>
      <c r="C126" s="19" t="s">
        <v>110</v>
      </c>
      <c r="D126" s="19"/>
      <c r="E126" s="24">
        <f>E127</f>
        <v>700000</v>
      </c>
      <c r="F126" s="24">
        <f>F127</f>
        <v>380000</v>
      </c>
      <c r="G126" s="25">
        <f t="shared" si="4"/>
        <v>1080000</v>
      </c>
    </row>
    <row r="127" spans="1:7" s="13" customFormat="1" ht="31.5">
      <c r="A127" s="30" t="s">
        <v>22</v>
      </c>
      <c r="B127" s="23" t="s">
        <v>85</v>
      </c>
      <c r="C127" s="19" t="s">
        <v>110</v>
      </c>
      <c r="D127" s="19">
        <v>200</v>
      </c>
      <c r="E127" s="24">
        <f>E128</f>
        <v>700000</v>
      </c>
      <c r="F127" s="24">
        <f>F128</f>
        <v>380000</v>
      </c>
      <c r="G127" s="25">
        <f t="shared" si="4"/>
        <v>1080000</v>
      </c>
    </row>
    <row r="128" spans="1:7" s="13" customFormat="1" ht="31.5">
      <c r="A128" s="30" t="s">
        <v>24</v>
      </c>
      <c r="B128" s="23" t="s">
        <v>85</v>
      </c>
      <c r="C128" s="19" t="s">
        <v>110</v>
      </c>
      <c r="D128" s="19">
        <v>240</v>
      </c>
      <c r="E128" s="24">
        <v>700000</v>
      </c>
      <c r="F128" s="29">
        <v>380000</v>
      </c>
      <c r="G128" s="25">
        <f t="shared" si="4"/>
        <v>1080000</v>
      </c>
    </row>
    <row r="129" spans="1:7" s="13" customFormat="1" ht="31.5">
      <c r="A129" s="46" t="s">
        <v>111</v>
      </c>
      <c r="B129" s="23" t="s">
        <v>85</v>
      </c>
      <c r="C129" s="19" t="s">
        <v>112</v>
      </c>
      <c r="D129" s="19"/>
      <c r="E129" s="24">
        <f>E130</f>
        <v>250000</v>
      </c>
      <c r="F129" s="24">
        <f>F130</f>
        <v>0</v>
      </c>
      <c r="G129" s="25">
        <f t="shared" si="4"/>
        <v>250000</v>
      </c>
    </row>
    <row r="130" spans="1:7" s="13" customFormat="1" ht="31.5">
      <c r="A130" s="30" t="s">
        <v>103</v>
      </c>
      <c r="B130" s="23" t="s">
        <v>85</v>
      </c>
      <c r="C130" s="19" t="s">
        <v>112</v>
      </c>
      <c r="D130" s="19">
        <v>600</v>
      </c>
      <c r="E130" s="24">
        <f>E131</f>
        <v>250000</v>
      </c>
      <c r="F130" s="24">
        <f>F131</f>
        <v>0</v>
      </c>
      <c r="G130" s="25">
        <f t="shared" si="4"/>
        <v>250000</v>
      </c>
    </row>
    <row r="131" spans="1:7" s="13" customFormat="1" ht="31.5">
      <c r="A131" s="26" t="s">
        <v>113</v>
      </c>
      <c r="B131" s="23" t="s">
        <v>85</v>
      </c>
      <c r="C131" s="19" t="s">
        <v>112</v>
      </c>
      <c r="D131" s="19">
        <v>630</v>
      </c>
      <c r="E131" s="24">
        <v>250000</v>
      </c>
      <c r="F131" s="29">
        <v>0</v>
      </c>
      <c r="G131" s="25">
        <f t="shared" si="4"/>
        <v>250000</v>
      </c>
    </row>
    <row r="132" spans="1:7" s="13" customFormat="1" ht="47.25">
      <c r="A132" s="46" t="s">
        <v>114</v>
      </c>
      <c r="B132" s="23" t="s">
        <v>85</v>
      </c>
      <c r="C132" s="19" t="s">
        <v>115</v>
      </c>
      <c r="D132" s="19"/>
      <c r="E132" s="24">
        <f>E133</f>
        <v>450000</v>
      </c>
      <c r="F132" s="24">
        <f>F133</f>
        <v>0</v>
      </c>
      <c r="G132" s="25">
        <f t="shared" si="4"/>
        <v>450000</v>
      </c>
    </row>
    <row r="133" spans="1:7" s="13" customFormat="1" ht="31.5">
      <c r="A133" s="30" t="s">
        <v>103</v>
      </c>
      <c r="B133" s="23" t="s">
        <v>85</v>
      </c>
      <c r="C133" s="19" t="s">
        <v>115</v>
      </c>
      <c r="D133" s="19">
        <v>600</v>
      </c>
      <c r="E133" s="24">
        <f>E134</f>
        <v>450000</v>
      </c>
      <c r="F133" s="24">
        <f>F134</f>
        <v>0</v>
      </c>
      <c r="G133" s="25">
        <f t="shared" si="4"/>
        <v>450000</v>
      </c>
    </row>
    <row r="134" spans="1:7" s="13" customFormat="1" ht="31.5">
      <c r="A134" s="26" t="s">
        <v>113</v>
      </c>
      <c r="B134" s="23" t="s">
        <v>85</v>
      </c>
      <c r="C134" s="19" t="s">
        <v>115</v>
      </c>
      <c r="D134" s="19">
        <v>630</v>
      </c>
      <c r="E134" s="24">
        <v>450000</v>
      </c>
      <c r="F134" s="29">
        <v>0</v>
      </c>
      <c r="G134" s="25">
        <f t="shared" si="4"/>
        <v>450000</v>
      </c>
    </row>
    <row r="135" spans="1:7" s="13" customFormat="1" ht="47.25">
      <c r="A135" s="26" t="s">
        <v>116</v>
      </c>
      <c r="B135" s="23" t="s">
        <v>85</v>
      </c>
      <c r="C135" s="19" t="s">
        <v>117</v>
      </c>
      <c r="D135" s="19"/>
      <c r="E135" s="24">
        <f>SUM(E136,E146)</f>
        <v>36554648</v>
      </c>
      <c r="F135" s="24">
        <f>SUM(F136,F146)</f>
        <v>-476000</v>
      </c>
      <c r="G135" s="25">
        <f aca="true" t="shared" si="9" ref="G135:G198">SUM(E135:F135)</f>
        <v>36078648</v>
      </c>
    </row>
    <row r="136" spans="1:7" s="13" customFormat="1" ht="31.5">
      <c r="A136" s="26" t="s">
        <v>118</v>
      </c>
      <c r="B136" s="23" t="s">
        <v>85</v>
      </c>
      <c r="C136" s="19" t="s">
        <v>119</v>
      </c>
      <c r="D136" s="19"/>
      <c r="E136" s="24">
        <f>SUM(E137,E140,E143)</f>
        <v>1700000</v>
      </c>
      <c r="F136" s="24">
        <f>SUM(F137,F140,F143)</f>
        <v>-476000</v>
      </c>
      <c r="G136" s="25">
        <f t="shared" si="9"/>
        <v>1224000</v>
      </c>
    </row>
    <row r="137" spans="1:7" s="13" customFormat="1" ht="31.5">
      <c r="A137" s="26" t="s">
        <v>120</v>
      </c>
      <c r="B137" s="23" t="s">
        <v>85</v>
      </c>
      <c r="C137" s="19" t="s">
        <v>121</v>
      </c>
      <c r="D137" s="19"/>
      <c r="E137" s="24">
        <f>E138</f>
        <v>400000</v>
      </c>
      <c r="F137" s="24">
        <f>F138</f>
        <v>0</v>
      </c>
      <c r="G137" s="25">
        <f t="shared" si="9"/>
        <v>400000</v>
      </c>
    </row>
    <row r="138" spans="1:7" s="13" customFormat="1" ht="31.5">
      <c r="A138" s="30" t="s">
        <v>22</v>
      </c>
      <c r="B138" s="23" t="s">
        <v>85</v>
      </c>
      <c r="C138" s="19" t="s">
        <v>121</v>
      </c>
      <c r="D138" s="19">
        <v>200</v>
      </c>
      <c r="E138" s="24">
        <f>E139</f>
        <v>400000</v>
      </c>
      <c r="F138" s="24">
        <f>F139</f>
        <v>0</v>
      </c>
      <c r="G138" s="25">
        <f t="shared" si="9"/>
        <v>400000</v>
      </c>
    </row>
    <row r="139" spans="1:7" s="13" customFormat="1" ht="31.5">
      <c r="A139" s="30" t="s">
        <v>24</v>
      </c>
      <c r="B139" s="23" t="s">
        <v>85</v>
      </c>
      <c r="C139" s="19" t="s">
        <v>121</v>
      </c>
      <c r="D139" s="19">
        <v>240</v>
      </c>
      <c r="E139" s="24">
        <v>400000</v>
      </c>
      <c r="F139" s="29">
        <v>0</v>
      </c>
      <c r="G139" s="25">
        <f t="shared" si="9"/>
        <v>400000</v>
      </c>
    </row>
    <row r="140" spans="1:7" s="13" customFormat="1" ht="47.25">
      <c r="A140" s="26" t="s">
        <v>122</v>
      </c>
      <c r="B140" s="23" t="s">
        <v>85</v>
      </c>
      <c r="C140" s="19" t="s">
        <v>123</v>
      </c>
      <c r="D140" s="19"/>
      <c r="E140" s="24">
        <f>E141</f>
        <v>300000</v>
      </c>
      <c r="F140" s="24">
        <f>F141</f>
        <v>0</v>
      </c>
      <c r="G140" s="25">
        <f t="shared" si="9"/>
        <v>300000</v>
      </c>
    </row>
    <row r="141" spans="1:7" s="13" customFormat="1" ht="31.5">
      <c r="A141" s="30" t="s">
        <v>22</v>
      </c>
      <c r="B141" s="23" t="s">
        <v>85</v>
      </c>
      <c r="C141" s="19" t="s">
        <v>123</v>
      </c>
      <c r="D141" s="19">
        <v>200</v>
      </c>
      <c r="E141" s="24">
        <f>E142</f>
        <v>300000</v>
      </c>
      <c r="F141" s="24">
        <f>F142</f>
        <v>0</v>
      </c>
      <c r="G141" s="25">
        <f t="shared" si="9"/>
        <v>300000</v>
      </c>
    </row>
    <row r="142" spans="1:7" s="13" customFormat="1" ht="31.5">
      <c r="A142" s="30" t="s">
        <v>24</v>
      </c>
      <c r="B142" s="23" t="s">
        <v>85</v>
      </c>
      <c r="C142" s="19" t="s">
        <v>123</v>
      </c>
      <c r="D142" s="19">
        <v>240</v>
      </c>
      <c r="E142" s="24">
        <v>300000</v>
      </c>
      <c r="F142" s="29">
        <v>0</v>
      </c>
      <c r="G142" s="25">
        <f t="shared" si="9"/>
        <v>300000</v>
      </c>
    </row>
    <row r="143" spans="1:7" s="13" customFormat="1" ht="31.5">
      <c r="A143" s="26" t="s">
        <v>124</v>
      </c>
      <c r="B143" s="23" t="s">
        <v>85</v>
      </c>
      <c r="C143" s="19" t="s">
        <v>125</v>
      </c>
      <c r="D143" s="19"/>
      <c r="E143" s="24">
        <f>E144</f>
        <v>1000000</v>
      </c>
      <c r="F143" s="24">
        <f>F144</f>
        <v>-476000</v>
      </c>
      <c r="G143" s="25">
        <f t="shared" si="9"/>
        <v>524000</v>
      </c>
    </row>
    <row r="144" spans="1:7" s="13" customFormat="1" ht="31.5">
      <c r="A144" s="30" t="s">
        <v>22</v>
      </c>
      <c r="B144" s="23" t="s">
        <v>85</v>
      </c>
      <c r="C144" s="19" t="s">
        <v>125</v>
      </c>
      <c r="D144" s="19">
        <v>200</v>
      </c>
      <c r="E144" s="24">
        <f>E145</f>
        <v>1000000</v>
      </c>
      <c r="F144" s="24">
        <f>F145</f>
        <v>-476000</v>
      </c>
      <c r="G144" s="25">
        <f t="shared" si="9"/>
        <v>524000</v>
      </c>
    </row>
    <row r="145" spans="1:7" s="13" customFormat="1" ht="31.5">
      <c r="A145" s="30" t="s">
        <v>24</v>
      </c>
      <c r="B145" s="23" t="s">
        <v>85</v>
      </c>
      <c r="C145" s="19" t="s">
        <v>125</v>
      </c>
      <c r="D145" s="19">
        <v>240</v>
      </c>
      <c r="E145" s="24">
        <v>1000000</v>
      </c>
      <c r="F145" s="29">
        <v>-476000</v>
      </c>
      <c r="G145" s="25">
        <f t="shared" si="9"/>
        <v>524000</v>
      </c>
    </row>
    <row r="146" spans="1:7" s="32" customFormat="1" ht="47.25">
      <c r="A146" s="30" t="s">
        <v>126</v>
      </c>
      <c r="B146" s="23" t="s">
        <v>85</v>
      </c>
      <c r="C146" s="19" t="s">
        <v>127</v>
      </c>
      <c r="D146" s="19"/>
      <c r="E146" s="24">
        <f>E147</f>
        <v>34854648</v>
      </c>
      <c r="F146" s="24">
        <f>F147</f>
        <v>0</v>
      </c>
      <c r="G146" s="25">
        <f t="shared" si="9"/>
        <v>34854648</v>
      </c>
    </row>
    <row r="147" spans="1:7" ht="63">
      <c r="A147" s="26" t="s">
        <v>128</v>
      </c>
      <c r="B147" s="23" t="s">
        <v>85</v>
      </c>
      <c r="C147" s="19" t="s">
        <v>129</v>
      </c>
      <c r="D147" s="19"/>
      <c r="E147" s="24">
        <f>SUM(E148,E150,E152)</f>
        <v>34854648</v>
      </c>
      <c r="F147" s="24">
        <f>SUM(F148,F150,F152)</f>
        <v>0</v>
      </c>
      <c r="G147" s="25">
        <f t="shared" si="9"/>
        <v>34854648</v>
      </c>
    </row>
    <row r="148" spans="1:7" s="13" customFormat="1" ht="78.75">
      <c r="A148" s="28" t="s">
        <v>18</v>
      </c>
      <c r="B148" s="23" t="s">
        <v>85</v>
      </c>
      <c r="C148" s="19" t="s">
        <v>129</v>
      </c>
      <c r="D148" s="19">
        <v>100</v>
      </c>
      <c r="E148" s="24">
        <f>E149</f>
        <v>32000000</v>
      </c>
      <c r="F148" s="24">
        <f>F149</f>
        <v>0</v>
      </c>
      <c r="G148" s="25">
        <f t="shared" si="9"/>
        <v>32000000</v>
      </c>
    </row>
    <row r="149" spans="1:7" s="13" customFormat="1" ht="15.75">
      <c r="A149" s="28" t="s">
        <v>96</v>
      </c>
      <c r="B149" s="23" t="s">
        <v>85</v>
      </c>
      <c r="C149" s="19" t="s">
        <v>129</v>
      </c>
      <c r="D149" s="19">
        <v>110</v>
      </c>
      <c r="E149" s="24">
        <v>32000000</v>
      </c>
      <c r="F149" s="29">
        <f>-2685273.01+2685273.01</f>
        <v>0</v>
      </c>
      <c r="G149" s="25">
        <f t="shared" si="9"/>
        <v>32000000</v>
      </c>
    </row>
    <row r="150" spans="1:7" ht="31.5">
      <c r="A150" s="30" t="s">
        <v>22</v>
      </c>
      <c r="B150" s="23" t="s">
        <v>85</v>
      </c>
      <c r="C150" s="19" t="s">
        <v>129</v>
      </c>
      <c r="D150" s="19">
        <v>200</v>
      </c>
      <c r="E150" s="24">
        <f>E151</f>
        <v>2684648</v>
      </c>
      <c r="F150" s="24">
        <f>F151</f>
        <v>0</v>
      </c>
      <c r="G150" s="25">
        <f t="shared" si="9"/>
        <v>2684648</v>
      </c>
    </row>
    <row r="151" spans="1:7" s="13" customFormat="1" ht="31.5">
      <c r="A151" s="30" t="s">
        <v>24</v>
      </c>
      <c r="B151" s="23" t="s">
        <v>85</v>
      </c>
      <c r="C151" s="19" t="s">
        <v>129</v>
      </c>
      <c r="D151" s="19">
        <v>240</v>
      </c>
      <c r="E151" s="24">
        <v>2684648</v>
      </c>
      <c r="F151" s="29">
        <v>0</v>
      </c>
      <c r="G151" s="25">
        <f t="shared" si="9"/>
        <v>2684648</v>
      </c>
    </row>
    <row r="152" spans="1:7" s="13" customFormat="1" ht="15.75">
      <c r="A152" s="30" t="s">
        <v>26</v>
      </c>
      <c r="B152" s="23" t="s">
        <v>85</v>
      </c>
      <c r="C152" s="19" t="s">
        <v>129</v>
      </c>
      <c r="D152" s="19">
        <v>800</v>
      </c>
      <c r="E152" s="24">
        <f>E153</f>
        <v>170000</v>
      </c>
      <c r="F152" s="24">
        <f>F153</f>
        <v>0</v>
      </c>
      <c r="G152" s="25">
        <f t="shared" si="9"/>
        <v>170000</v>
      </c>
    </row>
    <row r="153" spans="1:7" s="13" customFormat="1" ht="15.75">
      <c r="A153" s="30" t="s">
        <v>28</v>
      </c>
      <c r="B153" s="23" t="s">
        <v>85</v>
      </c>
      <c r="C153" s="19" t="s">
        <v>129</v>
      </c>
      <c r="D153" s="19">
        <v>850</v>
      </c>
      <c r="E153" s="24">
        <v>170000</v>
      </c>
      <c r="F153" s="29">
        <v>0</v>
      </c>
      <c r="G153" s="25">
        <f t="shared" si="9"/>
        <v>170000</v>
      </c>
    </row>
    <row r="154" spans="1:7" s="13" customFormat="1" ht="15.75">
      <c r="A154" s="22" t="s">
        <v>12</v>
      </c>
      <c r="B154" s="23" t="s">
        <v>85</v>
      </c>
      <c r="C154" s="19" t="s">
        <v>13</v>
      </c>
      <c r="D154" s="18"/>
      <c r="E154" s="25">
        <f>SUM(E159,E206,E184,E155)</f>
        <v>35803247.2</v>
      </c>
      <c r="F154" s="25">
        <f>SUM(F159,F206,F184,F155)</f>
        <v>68467939.58999999</v>
      </c>
      <c r="G154" s="25">
        <f t="shared" si="9"/>
        <v>104271186.78999999</v>
      </c>
    </row>
    <row r="155" spans="1:7" s="13" customFormat="1" ht="15.75">
      <c r="A155" s="22" t="s">
        <v>77</v>
      </c>
      <c r="B155" s="23" t="s">
        <v>85</v>
      </c>
      <c r="C155" s="19" t="s">
        <v>78</v>
      </c>
      <c r="D155" s="18"/>
      <c r="E155" s="25">
        <f aca="true" t="shared" si="10" ref="E155:F157">E156</f>
        <v>0</v>
      </c>
      <c r="F155" s="25">
        <f t="shared" si="10"/>
        <v>651603.74</v>
      </c>
      <c r="G155" s="25">
        <f t="shared" si="9"/>
        <v>651603.74</v>
      </c>
    </row>
    <row r="156" spans="1:7" s="13" customFormat="1" ht="31.5">
      <c r="A156" s="22" t="s">
        <v>130</v>
      </c>
      <c r="B156" s="23" t="s">
        <v>85</v>
      </c>
      <c r="C156" s="19" t="s">
        <v>131</v>
      </c>
      <c r="D156" s="18"/>
      <c r="E156" s="25">
        <f t="shared" si="10"/>
        <v>0</v>
      </c>
      <c r="F156" s="25">
        <f t="shared" si="10"/>
        <v>651603.74</v>
      </c>
      <c r="G156" s="25">
        <f t="shared" si="9"/>
        <v>651603.74</v>
      </c>
    </row>
    <row r="157" spans="1:7" s="13" customFormat="1" ht="31.5">
      <c r="A157" s="30" t="s">
        <v>22</v>
      </c>
      <c r="B157" s="23" t="s">
        <v>85</v>
      </c>
      <c r="C157" s="19" t="s">
        <v>131</v>
      </c>
      <c r="D157" s="19">
        <v>200</v>
      </c>
      <c r="E157" s="25">
        <f t="shared" si="10"/>
        <v>0</v>
      </c>
      <c r="F157" s="25">
        <f t="shared" si="10"/>
        <v>651603.74</v>
      </c>
      <c r="G157" s="25">
        <f t="shared" si="9"/>
        <v>651603.74</v>
      </c>
    </row>
    <row r="158" spans="1:7" s="13" customFormat="1" ht="31.5">
      <c r="A158" s="30" t="s">
        <v>24</v>
      </c>
      <c r="B158" s="23" t="s">
        <v>85</v>
      </c>
      <c r="C158" s="19" t="s">
        <v>131</v>
      </c>
      <c r="D158" s="19">
        <v>240</v>
      </c>
      <c r="E158" s="25">
        <v>0</v>
      </c>
      <c r="F158" s="25">
        <v>651603.74</v>
      </c>
      <c r="G158" s="25">
        <f t="shared" si="9"/>
        <v>651603.74</v>
      </c>
    </row>
    <row r="159" spans="1:7" s="13" customFormat="1" ht="31.5">
      <c r="A159" s="26" t="s">
        <v>67</v>
      </c>
      <c r="B159" s="23" t="s">
        <v>85</v>
      </c>
      <c r="C159" s="19" t="s">
        <v>68</v>
      </c>
      <c r="D159" s="19"/>
      <c r="E159" s="24">
        <f>SUM(E160,E163,E166,E169,E172,E175,E178,E181)</f>
        <v>1900000</v>
      </c>
      <c r="F159" s="24">
        <f>SUM(F160,F163,F166,F169,F172,F175,F178,F181)</f>
        <v>6931903</v>
      </c>
      <c r="G159" s="25">
        <f t="shared" si="9"/>
        <v>8831903</v>
      </c>
    </row>
    <row r="160" spans="1:7" s="13" customFormat="1" ht="47.25">
      <c r="A160" s="26" t="s">
        <v>132</v>
      </c>
      <c r="B160" s="23" t="s">
        <v>85</v>
      </c>
      <c r="C160" s="19" t="s">
        <v>133</v>
      </c>
      <c r="D160" s="19"/>
      <c r="E160" s="24">
        <f>E161</f>
        <v>500000</v>
      </c>
      <c r="F160" s="24">
        <f>F161</f>
        <v>0</v>
      </c>
      <c r="G160" s="25">
        <f t="shared" si="9"/>
        <v>500000</v>
      </c>
    </row>
    <row r="161" spans="1:7" s="13" customFormat="1" ht="31.5">
      <c r="A161" s="30" t="s">
        <v>22</v>
      </c>
      <c r="B161" s="23" t="s">
        <v>85</v>
      </c>
      <c r="C161" s="19" t="s">
        <v>133</v>
      </c>
      <c r="D161" s="19">
        <v>200</v>
      </c>
      <c r="E161" s="24">
        <f>E162</f>
        <v>500000</v>
      </c>
      <c r="F161" s="24">
        <f>F162</f>
        <v>0</v>
      </c>
      <c r="G161" s="25">
        <f t="shared" si="9"/>
        <v>500000</v>
      </c>
    </row>
    <row r="162" spans="1:7" s="13" customFormat="1" ht="31.5">
      <c r="A162" s="30" t="s">
        <v>24</v>
      </c>
      <c r="B162" s="23" t="s">
        <v>85</v>
      </c>
      <c r="C162" s="19" t="s">
        <v>133</v>
      </c>
      <c r="D162" s="19">
        <v>240</v>
      </c>
      <c r="E162" s="24">
        <v>500000</v>
      </c>
      <c r="F162" s="29">
        <v>0</v>
      </c>
      <c r="G162" s="25">
        <f t="shared" si="9"/>
        <v>500000</v>
      </c>
    </row>
    <row r="163" spans="1:7" s="32" customFormat="1" ht="47.25">
      <c r="A163" s="26" t="s">
        <v>134</v>
      </c>
      <c r="B163" s="23" t="s">
        <v>85</v>
      </c>
      <c r="C163" s="19" t="s">
        <v>135</v>
      </c>
      <c r="D163" s="19"/>
      <c r="E163" s="24">
        <f>E164</f>
        <v>200000</v>
      </c>
      <c r="F163" s="24">
        <f>F164</f>
        <v>0</v>
      </c>
      <c r="G163" s="25">
        <f t="shared" si="9"/>
        <v>200000</v>
      </c>
    </row>
    <row r="164" spans="1:7" ht="31.5">
      <c r="A164" s="26" t="s">
        <v>103</v>
      </c>
      <c r="B164" s="23" t="s">
        <v>85</v>
      </c>
      <c r="C164" s="19" t="s">
        <v>135</v>
      </c>
      <c r="D164" s="19">
        <v>600</v>
      </c>
      <c r="E164" s="24">
        <f>E165</f>
        <v>200000</v>
      </c>
      <c r="F164" s="24">
        <f>F165</f>
        <v>0</v>
      </c>
      <c r="G164" s="25">
        <f t="shared" si="9"/>
        <v>200000</v>
      </c>
    </row>
    <row r="165" spans="1:7" s="13" customFormat="1" ht="31.5">
      <c r="A165" s="26" t="s">
        <v>113</v>
      </c>
      <c r="B165" s="23" t="s">
        <v>85</v>
      </c>
      <c r="C165" s="19" t="s">
        <v>135</v>
      </c>
      <c r="D165" s="19">
        <v>630</v>
      </c>
      <c r="E165" s="29">
        <v>200000</v>
      </c>
      <c r="F165" s="29">
        <v>0</v>
      </c>
      <c r="G165" s="25">
        <f t="shared" si="9"/>
        <v>200000</v>
      </c>
    </row>
    <row r="166" spans="1:7" s="13" customFormat="1" ht="157.5">
      <c r="A166" s="26" t="s">
        <v>136</v>
      </c>
      <c r="B166" s="23" t="s">
        <v>85</v>
      </c>
      <c r="C166" s="19" t="s">
        <v>137</v>
      </c>
      <c r="D166" s="19"/>
      <c r="E166" s="29">
        <f>E167</f>
        <v>500000</v>
      </c>
      <c r="F166" s="29">
        <f>F167</f>
        <v>0</v>
      </c>
      <c r="G166" s="25">
        <f t="shared" si="9"/>
        <v>500000</v>
      </c>
    </row>
    <row r="167" spans="1:7" ht="31.5">
      <c r="A167" s="26" t="s">
        <v>103</v>
      </c>
      <c r="B167" s="23" t="s">
        <v>85</v>
      </c>
      <c r="C167" s="19" t="s">
        <v>137</v>
      </c>
      <c r="D167" s="19">
        <v>600</v>
      </c>
      <c r="E167" s="29">
        <f>E168</f>
        <v>500000</v>
      </c>
      <c r="F167" s="29">
        <f>F168</f>
        <v>0</v>
      </c>
      <c r="G167" s="25">
        <f t="shared" si="9"/>
        <v>500000</v>
      </c>
    </row>
    <row r="168" spans="1:7" ht="31.5">
      <c r="A168" s="26" t="s">
        <v>113</v>
      </c>
      <c r="B168" s="23" t="s">
        <v>85</v>
      </c>
      <c r="C168" s="19" t="s">
        <v>137</v>
      </c>
      <c r="D168" s="19">
        <v>630</v>
      </c>
      <c r="E168" s="29">
        <v>500000</v>
      </c>
      <c r="F168" s="29">
        <v>0</v>
      </c>
      <c r="G168" s="25">
        <f t="shared" si="9"/>
        <v>500000</v>
      </c>
    </row>
    <row r="169" spans="1:7" ht="63">
      <c r="A169" s="47" t="s">
        <v>138</v>
      </c>
      <c r="B169" s="23" t="s">
        <v>85</v>
      </c>
      <c r="C169" s="19" t="s">
        <v>139</v>
      </c>
      <c r="D169" s="19"/>
      <c r="E169" s="24">
        <f>E170</f>
        <v>700000</v>
      </c>
      <c r="F169" s="24">
        <f>F170</f>
        <v>99453</v>
      </c>
      <c r="G169" s="25">
        <f t="shared" si="9"/>
        <v>799453</v>
      </c>
    </row>
    <row r="170" spans="1:7" s="13" customFormat="1" ht="15.75">
      <c r="A170" s="30" t="s">
        <v>26</v>
      </c>
      <c r="B170" s="23" t="s">
        <v>85</v>
      </c>
      <c r="C170" s="19" t="s">
        <v>139</v>
      </c>
      <c r="D170" s="19">
        <v>800</v>
      </c>
      <c r="E170" s="24">
        <f>E171</f>
        <v>700000</v>
      </c>
      <c r="F170" s="24">
        <f>F171</f>
        <v>99453</v>
      </c>
      <c r="G170" s="25">
        <f t="shared" si="9"/>
        <v>799453</v>
      </c>
    </row>
    <row r="171" spans="1:7" s="13" customFormat="1" ht="15.75">
      <c r="A171" s="30" t="s">
        <v>28</v>
      </c>
      <c r="B171" s="23" t="s">
        <v>85</v>
      </c>
      <c r="C171" s="19" t="s">
        <v>139</v>
      </c>
      <c r="D171" s="19">
        <v>850</v>
      </c>
      <c r="E171" s="29">
        <v>700000</v>
      </c>
      <c r="F171" s="29">
        <v>99453</v>
      </c>
      <c r="G171" s="25">
        <f t="shared" si="9"/>
        <v>799453</v>
      </c>
    </row>
    <row r="172" spans="1:7" s="13" customFormat="1" ht="47.25">
      <c r="A172" s="30" t="s">
        <v>140</v>
      </c>
      <c r="B172" s="23" t="s">
        <v>85</v>
      </c>
      <c r="C172" s="19" t="s">
        <v>141</v>
      </c>
      <c r="D172" s="19"/>
      <c r="E172" s="29">
        <f>E173</f>
        <v>0</v>
      </c>
      <c r="F172" s="29">
        <f>F173</f>
        <v>3500000</v>
      </c>
      <c r="G172" s="25">
        <f t="shared" si="9"/>
        <v>3500000</v>
      </c>
    </row>
    <row r="173" spans="1:7" s="13" customFormat="1" ht="15.75">
      <c r="A173" s="30" t="s">
        <v>26</v>
      </c>
      <c r="B173" s="23" t="s">
        <v>85</v>
      </c>
      <c r="C173" s="19" t="s">
        <v>141</v>
      </c>
      <c r="D173" s="19">
        <v>800</v>
      </c>
      <c r="E173" s="29">
        <f>E174</f>
        <v>0</v>
      </c>
      <c r="F173" s="29">
        <f>F174</f>
        <v>3500000</v>
      </c>
      <c r="G173" s="25">
        <f t="shared" si="9"/>
        <v>3500000</v>
      </c>
    </row>
    <row r="174" spans="1:7" s="13" customFormat="1" ht="47.25">
      <c r="A174" s="30" t="s">
        <v>142</v>
      </c>
      <c r="B174" s="23" t="s">
        <v>85</v>
      </c>
      <c r="C174" s="19" t="s">
        <v>141</v>
      </c>
      <c r="D174" s="19">
        <v>810</v>
      </c>
      <c r="E174" s="29">
        <v>0</v>
      </c>
      <c r="F174" s="29">
        <f>2000000+1500000</f>
        <v>3500000</v>
      </c>
      <c r="G174" s="25">
        <f t="shared" si="9"/>
        <v>3500000</v>
      </c>
    </row>
    <row r="175" spans="1:7" s="13" customFormat="1" ht="47.25">
      <c r="A175" s="30" t="s">
        <v>143</v>
      </c>
      <c r="B175" s="23" t="s">
        <v>85</v>
      </c>
      <c r="C175" s="19" t="s">
        <v>144</v>
      </c>
      <c r="D175" s="19"/>
      <c r="E175" s="29">
        <f>E176</f>
        <v>0</v>
      </c>
      <c r="F175" s="29">
        <f>F176</f>
        <v>1500000</v>
      </c>
      <c r="G175" s="25">
        <f t="shared" si="9"/>
        <v>1500000</v>
      </c>
    </row>
    <row r="176" spans="1:7" s="13" customFormat="1" ht="15.75">
      <c r="A176" s="30" t="s">
        <v>26</v>
      </c>
      <c r="B176" s="23" t="s">
        <v>85</v>
      </c>
      <c r="C176" s="19" t="s">
        <v>144</v>
      </c>
      <c r="D176" s="19">
        <v>800</v>
      </c>
      <c r="E176" s="29">
        <f>E177</f>
        <v>0</v>
      </c>
      <c r="F176" s="29">
        <f>F177</f>
        <v>1500000</v>
      </c>
      <c r="G176" s="25">
        <f t="shared" si="9"/>
        <v>1500000</v>
      </c>
    </row>
    <row r="177" spans="1:7" s="13" customFormat="1" ht="47.25">
      <c r="A177" s="30" t="s">
        <v>142</v>
      </c>
      <c r="B177" s="23" t="s">
        <v>85</v>
      </c>
      <c r="C177" s="19" t="s">
        <v>144</v>
      </c>
      <c r="D177" s="19">
        <v>810</v>
      </c>
      <c r="E177" s="29">
        <v>0</v>
      </c>
      <c r="F177" s="29">
        <v>1500000</v>
      </c>
      <c r="G177" s="25">
        <f t="shared" si="9"/>
        <v>1500000</v>
      </c>
    </row>
    <row r="178" spans="1:7" s="13" customFormat="1" ht="63">
      <c r="A178" s="30" t="s">
        <v>145</v>
      </c>
      <c r="B178" s="23" t="s">
        <v>85</v>
      </c>
      <c r="C178" s="19" t="s">
        <v>146</v>
      </c>
      <c r="D178" s="19"/>
      <c r="E178" s="29">
        <f>E179</f>
        <v>0</v>
      </c>
      <c r="F178" s="29">
        <f>F179</f>
        <v>107500</v>
      </c>
      <c r="G178" s="25">
        <f t="shared" si="9"/>
        <v>107500</v>
      </c>
    </row>
    <row r="179" spans="1:7" s="13" customFormat="1" ht="31.5">
      <c r="A179" s="30" t="s">
        <v>22</v>
      </c>
      <c r="B179" s="23" t="s">
        <v>85</v>
      </c>
      <c r="C179" s="19" t="s">
        <v>146</v>
      </c>
      <c r="D179" s="19">
        <v>200</v>
      </c>
      <c r="E179" s="29">
        <f>E180</f>
        <v>0</v>
      </c>
      <c r="F179" s="29">
        <f>F180</f>
        <v>107500</v>
      </c>
      <c r="G179" s="25">
        <f t="shared" si="9"/>
        <v>107500</v>
      </c>
    </row>
    <row r="180" spans="1:7" s="13" customFormat="1" ht="31.5">
      <c r="A180" s="26" t="s">
        <v>24</v>
      </c>
      <c r="B180" s="23" t="s">
        <v>85</v>
      </c>
      <c r="C180" s="19" t="s">
        <v>146</v>
      </c>
      <c r="D180" s="19">
        <v>240</v>
      </c>
      <c r="E180" s="29">
        <v>0</v>
      </c>
      <c r="F180" s="29">
        <v>107500</v>
      </c>
      <c r="G180" s="25">
        <f t="shared" si="9"/>
        <v>107500</v>
      </c>
    </row>
    <row r="181" spans="1:7" s="13" customFormat="1" ht="47.25">
      <c r="A181" s="26" t="s">
        <v>147</v>
      </c>
      <c r="B181" s="23" t="s">
        <v>85</v>
      </c>
      <c r="C181" s="19" t="s">
        <v>148</v>
      </c>
      <c r="D181" s="19"/>
      <c r="E181" s="48">
        <f>E182</f>
        <v>0</v>
      </c>
      <c r="F181" s="48">
        <f>F182</f>
        <v>1724950</v>
      </c>
      <c r="G181" s="25">
        <f t="shared" si="9"/>
        <v>1724950</v>
      </c>
    </row>
    <row r="182" spans="1:7" s="13" customFormat="1" ht="31.5">
      <c r="A182" s="30" t="s">
        <v>58</v>
      </c>
      <c r="B182" s="23" t="s">
        <v>85</v>
      </c>
      <c r="C182" s="19" t="s">
        <v>148</v>
      </c>
      <c r="D182" s="19">
        <v>200</v>
      </c>
      <c r="E182" s="48">
        <f>E183</f>
        <v>0</v>
      </c>
      <c r="F182" s="48">
        <f>F183</f>
        <v>1724950</v>
      </c>
      <c r="G182" s="25">
        <f t="shared" si="9"/>
        <v>1724950</v>
      </c>
    </row>
    <row r="183" spans="1:7" s="13" customFormat="1" ht="31.5">
      <c r="A183" s="30" t="s">
        <v>24</v>
      </c>
      <c r="B183" s="23" t="s">
        <v>85</v>
      </c>
      <c r="C183" s="19" t="s">
        <v>148</v>
      </c>
      <c r="D183" s="19">
        <v>240</v>
      </c>
      <c r="E183" s="48"/>
      <c r="F183" s="48">
        <v>1724950</v>
      </c>
      <c r="G183" s="25">
        <f t="shared" si="9"/>
        <v>1724950</v>
      </c>
    </row>
    <row r="184" spans="1:7" s="13" customFormat="1" ht="47.25">
      <c r="A184" s="26" t="s">
        <v>50</v>
      </c>
      <c r="B184" s="23" t="s">
        <v>85</v>
      </c>
      <c r="C184" s="19" t="s">
        <v>51</v>
      </c>
      <c r="D184" s="19"/>
      <c r="E184" s="24">
        <f>SUM(E200,E203,E185,E188,E191,E194,E197)</f>
        <v>1103247.2</v>
      </c>
      <c r="F184" s="24">
        <f>SUM(F200,F203,F185,F188,F191,F194,F197)</f>
        <v>61512237.84999999</v>
      </c>
      <c r="G184" s="25">
        <f t="shared" si="9"/>
        <v>62615485.04999999</v>
      </c>
    </row>
    <row r="185" spans="1:7" s="13" customFormat="1" ht="63">
      <c r="A185" s="26" t="s">
        <v>149</v>
      </c>
      <c r="B185" s="23" t="s">
        <v>85</v>
      </c>
      <c r="C185" s="19" t="s">
        <v>150</v>
      </c>
      <c r="D185" s="19"/>
      <c r="E185" s="24">
        <f>E186</f>
        <v>0</v>
      </c>
      <c r="F185" s="24">
        <f>F186</f>
        <v>6300000</v>
      </c>
      <c r="G185" s="25">
        <f t="shared" si="9"/>
        <v>6300000</v>
      </c>
    </row>
    <row r="186" spans="1:7" s="13" customFormat="1" ht="31.5">
      <c r="A186" s="30" t="s">
        <v>22</v>
      </c>
      <c r="B186" s="23" t="s">
        <v>85</v>
      </c>
      <c r="C186" s="19" t="s">
        <v>150</v>
      </c>
      <c r="D186" s="19">
        <v>200</v>
      </c>
      <c r="E186" s="24">
        <f>E187</f>
        <v>0</v>
      </c>
      <c r="F186" s="24">
        <f>F187</f>
        <v>6300000</v>
      </c>
      <c r="G186" s="25">
        <f t="shared" si="9"/>
        <v>6300000</v>
      </c>
    </row>
    <row r="187" spans="1:7" s="13" customFormat="1" ht="31.5">
      <c r="A187" s="26" t="s">
        <v>24</v>
      </c>
      <c r="B187" s="23" t="s">
        <v>85</v>
      </c>
      <c r="C187" s="19" t="s">
        <v>150</v>
      </c>
      <c r="D187" s="19">
        <v>240</v>
      </c>
      <c r="E187" s="24">
        <v>0</v>
      </c>
      <c r="F187" s="24">
        <v>6300000</v>
      </c>
      <c r="G187" s="25">
        <f t="shared" si="9"/>
        <v>6300000</v>
      </c>
    </row>
    <row r="188" spans="1:7" s="13" customFormat="1" ht="31.5">
      <c r="A188" s="26" t="s">
        <v>151</v>
      </c>
      <c r="B188" s="23" t="s">
        <v>85</v>
      </c>
      <c r="C188" s="19" t="s">
        <v>152</v>
      </c>
      <c r="D188" s="19"/>
      <c r="E188" s="24">
        <f>E189</f>
        <v>0</v>
      </c>
      <c r="F188" s="24">
        <f>F189</f>
        <v>52349091.56999999</v>
      </c>
      <c r="G188" s="25">
        <f t="shared" si="9"/>
        <v>52349091.56999999</v>
      </c>
    </row>
    <row r="189" spans="1:7" s="13" customFormat="1" ht="31.5">
      <c r="A189" s="26" t="s">
        <v>103</v>
      </c>
      <c r="B189" s="23" t="s">
        <v>85</v>
      </c>
      <c r="C189" s="19" t="s">
        <v>152</v>
      </c>
      <c r="D189" s="23" t="s">
        <v>153</v>
      </c>
      <c r="E189" s="24">
        <f>E190</f>
        <v>0</v>
      </c>
      <c r="F189" s="24">
        <f>F190</f>
        <v>52349091.56999999</v>
      </c>
      <c r="G189" s="25">
        <f t="shared" si="9"/>
        <v>52349091.56999999</v>
      </c>
    </row>
    <row r="190" spans="1:7" s="13" customFormat="1" ht="15.75">
      <c r="A190" s="26" t="s">
        <v>104</v>
      </c>
      <c r="B190" s="23" t="s">
        <v>85</v>
      </c>
      <c r="C190" s="19" t="s">
        <v>152</v>
      </c>
      <c r="D190" s="23" t="s">
        <v>154</v>
      </c>
      <c r="E190" s="24">
        <v>0</v>
      </c>
      <c r="F190" s="24">
        <f>5585835.96+8589457.66+9539417.28+7868091.15+5172479.2+4746370.15+4223425.58+6624014.59</f>
        <v>52349091.56999999</v>
      </c>
      <c r="G190" s="25">
        <f t="shared" si="9"/>
        <v>52349091.56999999</v>
      </c>
    </row>
    <row r="191" spans="1:7" s="13" customFormat="1" ht="78.75">
      <c r="A191" s="26" t="s">
        <v>155</v>
      </c>
      <c r="B191" s="23" t="s">
        <v>85</v>
      </c>
      <c r="C191" s="19" t="s">
        <v>156</v>
      </c>
      <c r="D191" s="19"/>
      <c r="E191" s="24">
        <f>E192</f>
        <v>0</v>
      </c>
      <c r="F191" s="24">
        <f>F192</f>
        <v>2934978.48</v>
      </c>
      <c r="G191" s="25">
        <f t="shared" si="9"/>
        <v>2934978.48</v>
      </c>
    </row>
    <row r="192" spans="1:7" s="13" customFormat="1" ht="31.5">
      <c r="A192" s="26" t="s">
        <v>103</v>
      </c>
      <c r="B192" s="23" t="s">
        <v>85</v>
      </c>
      <c r="C192" s="19" t="s">
        <v>156</v>
      </c>
      <c r="D192" s="23" t="s">
        <v>153</v>
      </c>
      <c r="E192" s="24">
        <f>E193</f>
        <v>0</v>
      </c>
      <c r="F192" s="24">
        <f>F193</f>
        <v>2934978.48</v>
      </c>
      <c r="G192" s="25">
        <f t="shared" si="9"/>
        <v>2934978.48</v>
      </c>
    </row>
    <row r="193" spans="1:7" s="13" customFormat="1" ht="15.75">
      <c r="A193" s="26" t="s">
        <v>104</v>
      </c>
      <c r="B193" s="23" t="s">
        <v>85</v>
      </c>
      <c r="C193" s="19" t="s">
        <v>156</v>
      </c>
      <c r="D193" s="23" t="s">
        <v>154</v>
      </c>
      <c r="E193" s="24">
        <v>0</v>
      </c>
      <c r="F193" s="24">
        <f>460000+139288+690484+192691.62+329436.36+733744.62+389333.88</f>
        <v>2934978.48</v>
      </c>
      <c r="G193" s="25">
        <f t="shared" si="9"/>
        <v>2934978.48</v>
      </c>
    </row>
    <row r="194" spans="1:7" s="13" customFormat="1" ht="63">
      <c r="A194" s="26" t="s">
        <v>52</v>
      </c>
      <c r="B194" s="23" t="s">
        <v>85</v>
      </c>
      <c r="C194" s="19" t="s">
        <v>53</v>
      </c>
      <c r="D194" s="19"/>
      <c r="E194" s="24">
        <f>E195</f>
        <v>0</v>
      </c>
      <c r="F194" s="24">
        <f>F195</f>
        <v>103446</v>
      </c>
      <c r="G194" s="25">
        <f t="shared" si="9"/>
        <v>103446</v>
      </c>
    </row>
    <row r="195" spans="1:7" s="13" customFormat="1" ht="15.75">
      <c r="A195" s="26" t="s">
        <v>42</v>
      </c>
      <c r="B195" s="23" t="s">
        <v>85</v>
      </c>
      <c r="C195" s="19" t="s">
        <v>53</v>
      </c>
      <c r="D195" s="19">
        <v>300</v>
      </c>
      <c r="E195" s="24">
        <f>E196</f>
        <v>0</v>
      </c>
      <c r="F195" s="24">
        <f>F196</f>
        <v>103446</v>
      </c>
      <c r="G195" s="25">
        <f t="shared" si="9"/>
        <v>103446</v>
      </c>
    </row>
    <row r="196" spans="1:7" s="13" customFormat="1" ht="15.75">
      <c r="A196" s="26" t="s">
        <v>157</v>
      </c>
      <c r="B196" s="23" t="s">
        <v>85</v>
      </c>
      <c r="C196" s="19" t="s">
        <v>53</v>
      </c>
      <c r="D196" s="19">
        <v>350</v>
      </c>
      <c r="E196" s="24">
        <v>0</v>
      </c>
      <c r="F196" s="24">
        <v>103446</v>
      </c>
      <c r="G196" s="25">
        <f t="shared" si="9"/>
        <v>103446</v>
      </c>
    </row>
    <row r="197" spans="1:7" s="13" customFormat="1" ht="47.25">
      <c r="A197" s="26" t="s">
        <v>158</v>
      </c>
      <c r="B197" s="23" t="s">
        <v>85</v>
      </c>
      <c r="C197" s="19" t="s">
        <v>159</v>
      </c>
      <c r="D197" s="19"/>
      <c r="E197" s="24">
        <f>E198</f>
        <v>0</v>
      </c>
      <c r="F197" s="24">
        <f>F198</f>
        <v>500000</v>
      </c>
      <c r="G197" s="25">
        <f t="shared" si="9"/>
        <v>500000</v>
      </c>
    </row>
    <row r="198" spans="1:7" s="13" customFormat="1" ht="31.5">
      <c r="A198" s="30" t="s">
        <v>22</v>
      </c>
      <c r="B198" s="23" t="s">
        <v>85</v>
      </c>
      <c r="C198" s="19" t="s">
        <v>159</v>
      </c>
      <c r="D198" s="19">
        <v>200</v>
      </c>
      <c r="E198" s="24">
        <f>E199</f>
        <v>0</v>
      </c>
      <c r="F198" s="24">
        <f>F199</f>
        <v>500000</v>
      </c>
      <c r="G198" s="25">
        <f t="shared" si="9"/>
        <v>500000</v>
      </c>
    </row>
    <row r="199" spans="1:7" s="13" customFormat="1" ht="31.5">
      <c r="A199" s="26" t="s">
        <v>24</v>
      </c>
      <c r="B199" s="23" t="s">
        <v>85</v>
      </c>
      <c r="C199" s="19" t="s">
        <v>159</v>
      </c>
      <c r="D199" s="19">
        <v>240</v>
      </c>
      <c r="E199" s="24">
        <v>0</v>
      </c>
      <c r="F199" s="24">
        <v>500000</v>
      </c>
      <c r="G199" s="25">
        <f aca="true" t="shared" si="11" ref="G199:G262">SUM(E199:F199)</f>
        <v>500000</v>
      </c>
    </row>
    <row r="200" spans="1:7" s="13" customFormat="1" ht="31.5">
      <c r="A200" s="26" t="s">
        <v>160</v>
      </c>
      <c r="B200" s="23" t="s">
        <v>85</v>
      </c>
      <c r="C200" s="19" t="s">
        <v>161</v>
      </c>
      <c r="D200" s="19"/>
      <c r="E200" s="29">
        <f>E201</f>
        <v>675278.2</v>
      </c>
      <c r="F200" s="29">
        <f>F201</f>
        <v>-675278.2</v>
      </c>
      <c r="G200" s="25">
        <f t="shared" si="11"/>
        <v>0</v>
      </c>
    </row>
    <row r="201" spans="1:7" s="13" customFormat="1" ht="31.5">
      <c r="A201" s="30" t="s">
        <v>22</v>
      </c>
      <c r="B201" s="23" t="s">
        <v>85</v>
      </c>
      <c r="C201" s="19" t="s">
        <v>161</v>
      </c>
      <c r="D201" s="19">
        <v>200</v>
      </c>
      <c r="E201" s="29">
        <f>E202</f>
        <v>675278.2</v>
      </c>
      <c r="F201" s="29">
        <f>F202</f>
        <v>-675278.2</v>
      </c>
      <c r="G201" s="25">
        <f t="shared" si="11"/>
        <v>0</v>
      </c>
    </row>
    <row r="202" spans="1:7" s="13" customFormat="1" ht="31.5">
      <c r="A202" s="26" t="s">
        <v>24</v>
      </c>
      <c r="B202" s="23" t="s">
        <v>85</v>
      </c>
      <c r="C202" s="19" t="s">
        <v>161</v>
      </c>
      <c r="D202" s="19">
        <v>240</v>
      </c>
      <c r="E202" s="29">
        <v>675278.2</v>
      </c>
      <c r="F202" s="29">
        <f>1194723.1-1870001.3</f>
        <v>-675278.2</v>
      </c>
      <c r="G202" s="25">
        <f t="shared" si="11"/>
        <v>0</v>
      </c>
    </row>
    <row r="203" spans="1:7" s="13" customFormat="1" ht="31.5">
      <c r="A203" s="30" t="s">
        <v>162</v>
      </c>
      <c r="B203" s="23" t="s">
        <v>85</v>
      </c>
      <c r="C203" s="19" t="s">
        <v>163</v>
      </c>
      <c r="D203" s="19"/>
      <c r="E203" s="29">
        <f>E204</f>
        <v>427969</v>
      </c>
      <c r="F203" s="29">
        <f>F204</f>
        <v>0</v>
      </c>
      <c r="G203" s="25">
        <f t="shared" si="11"/>
        <v>427969</v>
      </c>
    </row>
    <row r="204" spans="1:7" s="13" customFormat="1" ht="31.5">
      <c r="A204" s="30" t="s">
        <v>22</v>
      </c>
      <c r="B204" s="23" t="s">
        <v>85</v>
      </c>
      <c r="C204" s="19" t="s">
        <v>163</v>
      </c>
      <c r="D204" s="19">
        <v>200</v>
      </c>
      <c r="E204" s="29">
        <f>E205</f>
        <v>427969</v>
      </c>
      <c r="F204" s="29">
        <f>F205</f>
        <v>0</v>
      </c>
      <c r="G204" s="25">
        <f t="shared" si="11"/>
        <v>427969</v>
      </c>
    </row>
    <row r="205" spans="1:7" s="13" customFormat="1" ht="31.5">
      <c r="A205" s="30" t="s">
        <v>24</v>
      </c>
      <c r="B205" s="23" t="s">
        <v>85</v>
      </c>
      <c r="C205" s="19" t="s">
        <v>163</v>
      </c>
      <c r="D205" s="19">
        <v>240</v>
      </c>
      <c r="E205" s="29">
        <f>385172+42797</f>
        <v>427969</v>
      </c>
      <c r="F205" s="29">
        <v>0</v>
      </c>
      <c r="G205" s="25">
        <f t="shared" si="11"/>
        <v>427969</v>
      </c>
    </row>
    <row r="206" spans="1:7" s="13" customFormat="1" ht="15.75">
      <c r="A206" s="26" t="s">
        <v>164</v>
      </c>
      <c r="B206" s="23" t="s">
        <v>85</v>
      </c>
      <c r="C206" s="19" t="s">
        <v>165</v>
      </c>
      <c r="D206" s="19"/>
      <c r="E206" s="24">
        <f>SUM(E207,E210,E213,E216,E219,E222,E225,E228)</f>
        <v>32800000</v>
      </c>
      <c r="F206" s="24">
        <f>SUM(F207,F210,F213,F216,F219,F222,F225,F228)</f>
        <v>-627805</v>
      </c>
      <c r="G206" s="25">
        <f t="shared" si="11"/>
        <v>32172195</v>
      </c>
    </row>
    <row r="207" spans="1:7" s="13" customFormat="1" ht="47.25">
      <c r="A207" s="26" t="s">
        <v>166</v>
      </c>
      <c r="B207" s="23" t="s">
        <v>85</v>
      </c>
      <c r="C207" s="19" t="s">
        <v>167</v>
      </c>
      <c r="D207" s="23"/>
      <c r="E207" s="24">
        <f>E208</f>
        <v>1200000</v>
      </c>
      <c r="F207" s="24">
        <f>F208</f>
        <v>0</v>
      </c>
      <c r="G207" s="25">
        <f t="shared" si="11"/>
        <v>1200000</v>
      </c>
    </row>
    <row r="208" spans="1:7" s="13" customFormat="1" ht="15.75">
      <c r="A208" s="26" t="s">
        <v>26</v>
      </c>
      <c r="B208" s="23" t="s">
        <v>85</v>
      </c>
      <c r="C208" s="19" t="s">
        <v>167</v>
      </c>
      <c r="D208" s="23" t="s">
        <v>27</v>
      </c>
      <c r="E208" s="24">
        <f>E209</f>
        <v>1200000</v>
      </c>
      <c r="F208" s="24">
        <f>F209</f>
        <v>0</v>
      </c>
      <c r="G208" s="25">
        <f t="shared" si="11"/>
        <v>1200000</v>
      </c>
    </row>
    <row r="209" spans="1:7" s="13" customFormat="1" ht="15.75">
      <c r="A209" s="26" t="s">
        <v>71</v>
      </c>
      <c r="B209" s="23" t="s">
        <v>85</v>
      </c>
      <c r="C209" s="19" t="s">
        <v>167</v>
      </c>
      <c r="D209" s="23" t="s">
        <v>72</v>
      </c>
      <c r="E209" s="24">
        <v>1200000</v>
      </c>
      <c r="F209" s="29">
        <v>0</v>
      </c>
      <c r="G209" s="25">
        <f t="shared" si="11"/>
        <v>1200000</v>
      </c>
    </row>
    <row r="210" spans="1:7" s="13" customFormat="1" ht="78.75">
      <c r="A210" s="26" t="s">
        <v>168</v>
      </c>
      <c r="B210" s="23" t="s">
        <v>85</v>
      </c>
      <c r="C210" s="19" t="s">
        <v>169</v>
      </c>
      <c r="D210" s="23"/>
      <c r="E210" s="24">
        <f>E211</f>
        <v>27000000</v>
      </c>
      <c r="F210" s="24">
        <f>F211</f>
        <v>0</v>
      </c>
      <c r="G210" s="25">
        <f t="shared" si="11"/>
        <v>27000000</v>
      </c>
    </row>
    <row r="211" spans="1:7" s="13" customFormat="1" ht="31.5">
      <c r="A211" s="26" t="s">
        <v>103</v>
      </c>
      <c r="B211" s="23" t="s">
        <v>85</v>
      </c>
      <c r="C211" s="19" t="s">
        <v>169</v>
      </c>
      <c r="D211" s="23" t="s">
        <v>153</v>
      </c>
      <c r="E211" s="24">
        <f>E212</f>
        <v>27000000</v>
      </c>
      <c r="F211" s="24">
        <f>F212</f>
        <v>0</v>
      </c>
      <c r="G211" s="25">
        <f t="shared" si="11"/>
        <v>27000000</v>
      </c>
    </row>
    <row r="212" spans="1:7" s="13" customFormat="1" ht="15.75">
      <c r="A212" s="26" t="s">
        <v>104</v>
      </c>
      <c r="B212" s="23" t="s">
        <v>85</v>
      </c>
      <c r="C212" s="19" t="s">
        <v>169</v>
      </c>
      <c r="D212" s="23" t="s">
        <v>154</v>
      </c>
      <c r="E212" s="24">
        <v>27000000</v>
      </c>
      <c r="F212" s="29">
        <v>0</v>
      </c>
      <c r="G212" s="25">
        <f t="shared" si="11"/>
        <v>27000000</v>
      </c>
    </row>
    <row r="213" spans="1:7" s="13" customFormat="1" ht="31.5">
      <c r="A213" s="26" t="s">
        <v>170</v>
      </c>
      <c r="B213" s="23" t="s">
        <v>85</v>
      </c>
      <c r="C213" s="19" t="s">
        <v>171</v>
      </c>
      <c r="D213" s="23"/>
      <c r="E213" s="24">
        <f>E214</f>
        <v>3000000</v>
      </c>
      <c r="F213" s="24">
        <f>F214</f>
        <v>-1051000</v>
      </c>
      <c r="G213" s="25">
        <f t="shared" si="11"/>
        <v>1949000</v>
      </c>
    </row>
    <row r="214" spans="1:7" s="13" customFormat="1" ht="15.75">
      <c r="A214" s="26" t="s">
        <v>26</v>
      </c>
      <c r="B214" s="23" t="s">
        <v>85</v>
      </c>
      <c r="C214" s="19" t="s">
        <v>171</v>
      </c>
      <c r="D214" s="23" t="s">
        <v>27</v>
      </c>
      <c r="E214" s="24">
        <f>E215</f>
        <v>3000000</v>
      </c>
      <c r="F214" s="24">
        <f>F215</f>
        <v>-1051000</v>
      </c>
      <c r="G214" s="25">
        <f t="shared" si="11"/>
        <v>1949000</v>
      </c>
    </row>
    <row r="215" spans="1:7" s="13" customFormat="1" ht="15.75">
      <c r="A215" s="26" t="s">
        <v>71</v>
      </c>
      <c r="B215" s="23" t="s">
        <v>85</v>
      </c>
      <c r="C215" s="19" t="s">
        <v>171</v>
      </c>
      <c r="D215" s="23" t="s">
        <v>72</v>
      </c>
      <c r="E215" s="24">
        <v>3000000</v>
      </c>
      <c r="F215" s="29">
        <v>-1051000</v>
      </c>
      <c r="G215" s="25">
        <f t="shared" si="11"/>
        <v>1949000</v>
      </c>
    </row>
    <row r="216" spans="1:7" s="13" customFormat="1" ht="31.5">
      <c r="A216" s="26" t="s">
        <v>172</v>
      </c>
      <c r="B216" s="23" t="s">
        <v>85</v>
      </c>
      <c r="C216" s="19" t="s">
        <v>173</v>
      </c>
      <c r="D216" s="19"/>
      <c r="E216" s="24">
        <f>E217</f>
        <v>400000</v>
      </c>
      <c r="F216" s="24">
        <f>F217</f>
        <v>0</v>
      </c>
      <c r="G216" s="25">
        <f t="shared" si="11"/>
        <v>400000</v>
      </c>
    </row>
    <row r="217" spans="1:7" s="49" customFormat="1" ht="31.5">
      <c r="A217" s="30" t="s">
        <v>22</v>
      </c>
      <c r="B217" s="23" t="s">
        <v>85</v>
      </c>
      <c r="C217" s="19" t="s">
        <v>173</v>
      </c>
      <c r="D217" s="19">
        <v>200</v>
      </c>
      <c r="E217" s="24">
        <f>E218</f>
        <v>400000</v>
      </c>
      <c r="F217" s="24">
        <f>F218</f>
        <v>0</v>
      </c>
      <c r="G217" s="25">
        <f t="shared" si="11"/>
        <v>400000</v>
      </c>
    </row>
    <row r="218" spans="1:7" s="13" customFormat="1" ht="31.5">
      <c r="A218" s="30" t="s">
        <v>24</v>
      </c>
      <c r="B218" s="23" t="s">
        <v>85</v>
      </c>
      <c r="C218" s="19" t="s">
        <v>173</v>
      </c>
      <c r="D218" s="19">
        <v>240</v>
      </c>
      <c r="E218" s="24">
        <v>400000</v>
      </c>
      <c r="F218" s="29">
        <v>0</v>
      </c>
      <c r="G218" s="25">
        <f t="shared" si="11"/>
        <v>400000</v>
      </c>
    </row>
    <row r="219" spans="1:7" s="13" customFormat="1" ht="15.75">
      <c r="A219" s="26" t="s">
        <v>174</v>
      </c>
      <c r="B219" s="23" t="s">
        <v>85</v>
      </c>
      <c r="C219" s="19" t="s">
        <v>175</v>
      </c>
      <c r="D219" s="19"/>
      <c r="E219" s="24">
        <f>E220</f>
        <v>1000000</v>
      </c>
      <c r="F219" s="24">
        <f>F220</f>
        <v>-99453</v>
      </c>
      <c r="G219" s="25">
        <f t="shared" si="11"/>
        <v>900547</v>
      </c>
    </row>
    <row r="220" spans="1:7" s="13" customFormat="1" ht="15.75">
      <c r="A220" s="30" t="s">
        <v>26</v>
      </c>
      <c r="B220" s="23" t="s">
        <v>85</v>
      </c>
      <c r="C220" s="19" t="s">
        <v>175</v>
      </c>
      <c r="D220" s="19">
        <v>800</v>
      </c>
      <c r="E220" s="24">
        <f>E221</f>
        <v>1000000</v>
      </c>
      <c r="F220" s="24">
        <f>F221</f>
        <v>-99453</v>
      </c>
      <c r="G220" s="25">
        <f t="shared" si="11"/>
        <v>900547</v>
      </c>
    </row>
    <row r="221" spans="1:7" s="13" customFormat="1" ht="15.75">
      <c r="A221" s="26" t="s">
        <v>174</v>
      </c>
      <c r="B221" s="23" t="s">
        <v>85</v>
      </c>
      <c r="C221" s="19" t="s">
        <v>175</v>
      </c>
      <c r="D221" s="19">
        <v>830</v>
      </c>
      <c r="E221" s="24">
        <v>1000000</v>
      </c>
      <c r="F221" s="29">
        <v>-99453</v>
      </c>
      <c r="G221" s="25">
        <f t="shared" si="11"/>
        <v>900547</v>
      </c>
    </row>
    <row r="222" spans="1:7" s="13" customFormat="1" ht="78.75">
      <c r="A222" s="26" t="s">
        <v>176</v>
      </c>
      <c r="B222" s="23" t="s">
        <v>85</v>
      </c>
      <c r="C222" s="19" t="s">
        <v>177</v>
      </c>
      <c r="D222" s="19"/>
      <c r="E222" s="24">
        <f>E223</f>
        <v>200000</v>
      </c>
      <c r="F222" s="24">
        <f>F223</f>
        <v>0</v>
      </c>
      <c r="G222" s="25">
        <f t="shared" si="11"/>
        <v>200000</v>
      </c>
    </row>
    <row r="223" spans="1:7" s="13" customFormat="1" ht="15.75">
      <c r="A223" s="30" t="s">
        <v>26</v>
      </c>
      <c r="B223" s="23" t="s">
        <v>85</v>
      </c>
      <c r="C223" s="19" t="s">
        <v>177</v>
      </c>
      <c r="D223" s="19">
        <v>800</v>
      </c>
      <c r="E223" s="24">
        <f>E224</f>
        <v>200000</v>
      </c>
      <c r="F223" s="24">
        <f>F224</f>
        <v>0</v>
      </c>
      <c r="G223" s="25">
        <f t="shared" si="11"/>
        <v>200000</v>
      </c>
    </row>
    <row r="224" spans="1:7" s="13" customFormat="1" ht="15.75">
      <c r="A224" s="26" t="s">
        <v>71</v>
      </c>
      <c r="B224" s="23" t="s">
        <v>85</v>
      </c>
      <c r="C224" s="19" t="s">
        <v>177</v>
      </c>
      <c r="D224" s="19">
        <v>880</v>
      </c>
      <c r="E224" s="24">
        <v>200000</v>
      </c>
      <c r="F224" s="29"/>
      <c r="G224" s="25">
        <f t="shared" si="11"/>
        <v>200000</v>
      </c>
    </row>
    <row r="225" spans="1:7" s="13" customFormat="1" ht="78.75">
      <c r="A225" s="26" t="s">
        <v>178</v>
      </c>
      <c r="B225" s="23" t="s">
        <v>85</v>
      </c>
      <c r="C225" s="19" t="s">
        <v>179</v>
      </c>
      <c r="D225" s="19"/>
      <c r="E225" s="24">
        <f>E226</f>
        <v>0</v>
      </c>
      <c r="F225" s="24">
        <f>F226</f>
        <v>482748</v>
      </c>
      <c r="G225" s="25">
        <f t="shared" si="11"/>
        <v>482748</v>
      </c>
    </row>
    <row r="226" spans="1:7" s="13" customFormat="1" ht="15.75">
      <c r="A226" s="26" t="s">
        <v>42</v>
      </c>
      <c r="B226" s="23" t="s">
        <v>85</v>
      </c>
      <c r="C226" s="19" t="s">
        <v>179</v>
      </c>
      <c r="D226" s="19">
        <v>300</v>
      </c>
      <c r="E226" s="24">
        <f>E227</f>
        <v>0</v>
      </c>
      <c r="F226" s="24">
        <f>F227</f>
        <v>482748</v>
      </c>
      <c r="G226" s="25">
        <f t="shared" si="11"/>
        <v>482748</v>
      </c>
    </row>
    <row r="227" spans="1:7" s="13" customFormat="1" ht="15.75">
      <c r="A227" s="26" t="s">
        <v>157</v>
      </c>
      <c r="B227" s="23" t="s">
        <v>85</v>
      </c>
      <c r="C227" s="19" t="s">
        <v>179</v>
      </c>
      <c r="D227" s="19">
        <v>350</v>
      </c>
      <c r="E227" s="24"/>
      <c r="F227" s="29">
        <v>482748</v>
      </c>
      <c r="G227" s="25">
        <f t="shared" si="11"/>
        <v>482748</v>
      </c>
    </row>
    <row r="228" spans="1:7" s="13" customFormat="1" ht="47.25">
      <c r="A228" s="26" t="s">
        <v>180</v>
      </c>
      <c r="B228" s="23" t="s">
        <v>85</v>
      </c>
      <c r="C228" s="19" t="s">
        <v>181</v>
      </c>
      <c r="D228" s="19"/>
      <c r="E228" s="24">
        <f>E229</f>
        <v>0</v>
      </c>
      <c r="F228" s="24">
        <f>F229</f>
        <v>39900</v>
      </c>
      <c r="G228" s="25">
        <f t="shared" si="11"/>
        <v>39900</v>
      </c>
    </row>
    <row r="229" spans="1:7" s="13" customFormat="1" ht="31.5">
      <c r="A229" s="30" t="s">
        <v>22</v>
      </c>
      <c r="B229" s="23" t="s">
        <v>85</v>
      </c>
      <c r="C229" s="19" t="s">
        <v>181</v>
      </c>
      <c r="D229" s="23" t="s">
        <v>23</v>
      </c>
      <c r="E229" s="24">
        <f>E230</f>
        <v>0</v>
      </c>
      <c r="F229" s="24">
        <f>F230</f>
        <v>39900</v>
      </c>
      <c r="G229" s="25">
        <f t="shared" si="11"/>
        <v>39900</v>
      </c>
    </row>
    <row r="230" spans="1:7" s="13" customFormat="1" ht="31.5">
      <c r="A230" s="28" t="s">
        <v>24</v>
      </c>
      <c r="B230" s="23" t="s">
        <v>85</v>
      </c>
      <c r="C230" s="19" t="s">
        <v>181</v>
      </c>
      <c r="D230" s="23" t="s">
        <v>25</v>
      </c>
      <c r="E230" s="24">
        <v>0</v>
      </c>
      <c r="F230" s="24">
        <v>39900</v>
      </c>
      <c r="G230" s="25">
        <f t="shared" si="11"/>
        <v>39900</v>
      </c>
    </row>
    <row r="231" spans="1:7" s="13" customFormat="1" ht="31.5">
      <c r="A231" s="14" t="s">
        <v>182</v>
      </c>
      <c r="B231" s="15" t="s">
        <v>183</v>
      </c>
      <c r="C231" s="19"/>
      <c r="D231" s="19"/>
      <c r="E231" s="50">
        <f>SUM(E232,E243,E258)</f>
        <v>36135932</v>
      </c>
      <c r="F231" s="50">
        <f>SUM(F232,F243,F258)</f>
        <v>536126</v>
      </c>
      <c r="G231" s="16">
        <f t="shared" si="11"/>
        <v>36672058</v>
      </c>
    </row>
    <row r="232" spans="1:7" s="13" customFormat="1" ht="15.75">
      <c r="A232" s="17" t="s">
        <v>184</v>
      </c>
      <c r="B232" s="18" t="s">
        <v>185</v>
      </c>
      <c r="C232" s="34"/>
      <c r="D232" s="34"/>
      <c r="E232" s="20">
        <f>E233</f>
        <v>5105932</v>
      </c>
      <c r="F232" s="20">
        <f>F233</f>
        <v>467726</v>
      </c>
      <c r="G232" s="21">
        <f t="shared" si="11"/>
        <v>5573658</v>
      </c>
    </row>
    <row r="233" spans="1:7" s="13" customFormat="1" ht="15.75">
      <c r="A233" s="22" t="s">
        <v>12</v>
      </c>
      <c r="B233" s="23" t="s">
        <v>185</v>
      </c>
      <c r="C233" s="19" t="s">
        <v>13</v>
      </c>
      <c r="D233" s="18"/>
      <c r="E233" s="24">
        <f>E234</f>
        <v>5105932</v>
      </c>
      <c r="F233" s="24">
        <f>F234</f>
        <v>467726</v>
      </c>
      <c r="G233" s="25">
        <f t="shared" si="11"/>
        <v>5573658</v>
      </c>
    </row>
    <row r="234" spans="1:7" s="13" customFormat="1" ht="31.5">
      <c r="A234" s="26" t="s">
        <v>14</v>
      </c>
      <c r="B234" s="23" t="s">
        <v>185</v>
      </c>
      <c r="C234" s="19" t="s">
        <v>15</v>
      </c>
      <c r="D234" s="19"/>
      <c r="E234" s="24">
        <f>SUM(E238,E235)</f>
        <v>5105932</v>
      </c>
      <c r="F234" s="24">
        <f>SUM(F238,F235)</f>
        <v>467726</v>
      </c>
      <c r="G234" s="25">
        <f t="shared" si="11"/>
        <v>5573658</v>
      </c>
    </row>
    <row r="235" spans="1:7" s="13" customFormat="1" ht="47.25">
      <c r="A235" s="26" t="s">
        <v>186</v>
      </c>
      <c r="B235" s="23" t="s">
        <v>185</v>
      </c>
      <c r="C235" s="19" t="s">
        <v>187</v>
      </c>
      <c r="D235" s="19"/>
      <c r="E235" s="24">
        <f>E236</f>
        <v>0</v>
      </c>
      <c r="F235" s="24">
        <f>F236</f>
        <v>467726</v>
      </c>
      <c r="G235" s="25">
        <f t="shared" si="11"/>
        <v>467726</v>
      </c>
    </row>
    <row r="236" spans="1:7" s="13" customFormat="1" ht="78.75">
      <c r="A236" s="28" t="s">
        <v>18</v>
      </c>
      <c r="B236" s="23" t="s">
        <v>185</v>
      </c>
      <c r="C236" s="19" t="s">
        <v>187</v>
      </c>
      <c r="D236" s="23" t="s">
        <v>19</v>
      </c>
      <c r="E236" s="24">
        <f>E237</f>
        <v>0</v>
      </c>
      <c r="F236" s="24">
        <f>F237</f>
        <v>467726</v>
      </c>
      <c r="G236" s="25">
        <f t="shared" si="11"/>
        <v>467726</v>
      </c>
    </row>
    <row r="237" spans="1:7" s="13" customFormat="1" ht="31.5">
      <c r="A237" s="28" t="s">
        <v>20</v>
      </c>
      <c r="B237" s="23" t="s">
        <v>185</v>
      </c>
      <c r="C237" s="19" t="s">
        <v>187</v>
      </c>
      <c r="D237" s="23" t="s">
        <v>21</v>
      </c>
      <c r="E237" s="24">
        <v>0</v>
      </c>
      <c r="F237" s="24">
        <v>467726</v>
      </c>
      <c r="G237" s="25">
        <f t="shared" si="11"/>
        <v>467726</v>
      </c>
    </row>
    <row r="238" spans="1:7" s="13" customFormat="1" ht="31.5">
      <c r="A238" s="30" t="s">
        <v>188</v>
      </c>
      <c r="B238" s="23" t="s">
        <v>185</v>
      </c>
      <c r="C238" s="19" t="s">
        <v>189</v>
      </c>
      <c r="D238" s="23"/>
      <c r="E238" s="24">
        <f>E239+E241</f>
        <v>5105932</v>
      </c>
      <c r="F238" s="24">
        <f>F239+F241</f>
        <v>0</v>
      </c>
      <c r="G238" s="25">
        <f t="shared" si="11"/>
        <v>5105932</v>
      </c>
    </row>
    <row r="239" spans="1:7" s="13" customFormat="1" ht="78.75">
      <c r="A239" s="28" t="s">
        <v>18</v>
      </c>
      <c r="B239" s="23" t="s">
        <v>185</v>
      </c>
      <c r="C239" s="19" t="s">
        <v>189</v>
      </c>
      <c r="D239" s="23" t="s">
        <v>19</v>
      </c>
      <c r="E239" s="24">
        <f>E240</f>
        <v>4305000</v>
      </c>
      <c r="F239" s="24">
        <f>F240</f>
        <v>-117183.53</v>
      </c>
      <c r="G239" s="25">
        <f t="shared" si="11"/>
        <v>4187816.47</v>
      </c>
    </row>
    <row r="240" spans="1:7" s="13" customFormat="1" ht="31.5">
      <c r="A240" s="28" t="s">
        <v>20</v>
      </c>
      <c r="B240" s="23" t="s">
        <v>185</v>
      </c>
      <c r="C240" s="19" t="s">
        <v>189</v>
      </c>
      <c r="D240" s="23" t="s">
        <v>21</v>
      </c>
      <c r="E240" s="24">
        <v>4305000</v>
      </c>
      <c r="F240" s="29">
        <f>-78900-5244.53-33039</f>
        <v>-117183.53</v>
      </c>
      <c r="G240" s="25">
        <f t="shared" si="11"/>
        <v>4187816.47</v>
      </c>
    </row>
    <row r="241" spans="1:7" s="13" customFormat="1" ht="31.5">
      <c r="A241" s="30" t="s">
        <v>22</v>
      </c>
      <c r="B241" s="23" t="s">
        <v>185</v>
      </c>
      <c r="C241" s="19" t="s">
        <v>189</v>
      </c>
      <c r="D241" s="23" t="s">
        <v>23</v>
      </c>
      <c r="E241" s="24">
        <f>E242</f>
        <v>800932</v>
      </c>
      <c r="F241" s="24">
        <f>F242</f>
        <v>117183.53</v>
      </c>
      <c r="G241" s="25">
        <f t="shared" si="11"/>
        <v>918115.53</v>
      </c>
    </row>
    <row r="242" spans="1:7" s="13" customFormat="1" ht="31.5">
      <c r="A242" s="28" t="s">
        <v>24</v>
      </c>
      <c r="B242" s="23" t="s">
        <v>185</v>
      </c>
      <c r="C242" s="19" t="s">
        <v>189</v>
      </c>
      <c r="D242" s="23" t="s">
        <v>25</v>
      </c>
      <c r="E242" s="24">
        <v>800932</v>
      </c>
      <c r="F242" s="29">
        <f>78900+5244.53+33039</f>
        <v>117183.53</v>
      </c>
      <c r="G242" s="25">
        <f t="shared" si="11"/>
        <v>918115.53</v>
      </c>
    </row>
    <row r="243" spans="1:7" s="13" customFormat="1" ht="47.25">
      <c r="A243" s="17" t="s">
        <v>190</v>
      </c>
      <c r="B243" s="18" t="s">
        <v>191</v>
      </c>
      <c r="C243" s="19"/>
      <c r="D243" s="19"/>
      <c r="E243" s="20">
        <f>SUM(E244,E253)</f>
        <v>30230000</v>
      </c>
      <c r="F243" s="20">
        <f>SUM(F244,F253)</f>
        <v>68400</v>
      </c>
      <c r="G243" s="21">
        <f t="shared" si="11"/>
        <v>30298400</v>
      </c>
    </row>
    <row r="244" spans="1:7" s="13" customFormat="1" ht="31.5">
      <c r="A244" s="26" t="s">
        <v>192</v>
      </c>
      <c r="B244" s="23" t="s">
        <v>191</v>
      </c>
      <c r="C244" s="19" t="s">
        <v>106</v>
      </c>
      <c r="D244" s="19"/>
      <c r="E244" s="24">
        <f>E245</f>
        <v>30230000</v>
      </c>
      <c r="F244" s="24">
        <f>F245</f>
        <v>0</v>
      </c>
      <c r="G244" s="25">
        <f t="shared" si="11"/>
        <v>30230000</v>
      </c>
    </row>
    <row r="245" spans="1:7" s="13" customFormat="1" ht="31.5">
      <c r="A245" s="46" t="s">
        <v>193</v>
      </c>
      <c r="B245" s="23" t="s">
        <v>191</v>
      </c>
      <c r="C245" s="19" t="s">
        <v>194</v>
      </c>
      <c r="D245" s="19"/>
      <c r="E245" s="29">
        <f>E246</f>
        <v>30230000</v>
      </c>
      <c r="F245" s="29">
        <f>F246</f>
        <v>0</v>
      </c>
      <c r="G245" s="25">
        <f t="shared" si="11"/>
        <v>30230000</v>
      </c>
    </row>
    <row r="246" spans="1:7" s="13" customFormat="1" ht="63">
      <c r="A246" s="46" t="s">
        <v>195</v>
      </c>
      <c r="B246" s="23" t="s">
        <v>191</v>
      </c>
      <c r="C246" s="19" t="s">
        <v>196</v>
      </c>
      <c r="D246" s="19"/>
      <c r="E246" s="29">
        <f>SUM(E247,E249,E251)</f>
        <v>30230000</v>
      </c>
      <c r="F246" s="29">
        <f>SUM(F247,F249,F251)</f>
        <v>0</v>
      </c>
      <c r="G246" s="25">
        <f t="shared" si="11"/>
        <v>30230000</v>
      </c>
    </row>
    <row r="247" spans="1:7" s="13" customFormat="1" ht="78.75">
      <c r="A247" s="28" t="s">
        <v>18</v>
      </c>
      <c r="B247" s="23" t="s">
        <v>191</v>
      </c>
      <c r="C247" s="19" t="s">
        <v>196</v>
      </c>
      <c r="D247" s="19">
        <v>100</v>
      </c>
      <c r="E247" s="29">
        <f>E248</f>
        <v>26175000</v>
      </c>
      <c r="F247" s="29">
        <f>F248</f>
        <v>290000</v>
      </c>
      <c r="G247" s="25">
        <f t="shared" si="11"/>
        <v>26465000</v>
      </c>
    </row>
    <row r="248" spans="1:7" s="13" customFormat="1" ht="15.75">
      <c r="A248" s="28" t="s">
        <v>96</v>
      </c>
      <c r="B248" s="23" t="s">
        <v>191</v>
      </c>
      <c r="C248" s="19" t="s">
        <v>196</v>
      </c>
      <c r="D248" s="19">
        <v>110</v>
      </c>
      <c r="E248" s="29">
        <v>26175000</v>
      </c>
      <c r="F248" s="29">
        <v>290000</v>
      </c>
      <c r="G248" s="25">
        <f t="shared" si="11"/>
        <v>26465000</v>
      </c>
    </row>
    <row r="249" spans="1:7" s="13" customFormat="1" ht="31.5">
      <c r="A249" s="30" t="s">
        <v>22</v>
      </c>
      <c r="B249" s="23" t="s">
        <v>191</v>
      </c>
      <c r="C249" s="19" t="s">
        <v>196</v>
      </c>
      <c r="D249" s="19">
        <v>200</v>
      </c>
      <c r="E249" s="29">
        <f>E250</f>
        <v>4000000</v>
      </c>
      <c r="F249" s="29">
        <f>F250</f>
        <v>-290000</v>
      </c>
      <c r="G249" s="25">
        <f t="shared" si="11"/>
        <v>3710000</v>
      </c>
    </row>
    <row r="250" spans="1:7" s="13" customFormat="1" ht="31.5">
      <c r="A250" s="30" t="s">
        <v>24</v>
      </c>
      <c r="B250" s="23" t="s">
        <v>191</v>
      </c>
      <c r="C250" s="19" t="s">
        <v>196</v>
      </c>
      <c r="D250" s="19">
        <v>240</v>
      </c>
      <c r="E250" s="29">
        <v>4000000</v>
      </c>
      <c r="F250" s="29">
        <v>-290000</v>
      </c>
      <c r="G250" s="25">
        <f t="shared" si="11"/>
        <v>3710000</v>
      </c>
    </row>
    <row r="251" spans="1:7" s="13" customFormat="1" ht="15.75">
      <c r="A251" s="30" t="s">
        <v>26</v>
      </c>
      <c r="B251" s="23" t="s">
        <v>191</v>
      </c>
      <c r="C251" s="19" t="s">
        <v>196</v>
      </c>
      <c r="D251" s="19">
        <v>800</v>
      </c>
      <c r="E251" s="29">
        <f>E252</f>
        <v>55000</v>
      </c>
      <c r="F251" s="29">
        <f>F252</f>
        <v>0</v>
      </c>
      <c r="G251" s="25">
        <f t="shared" si="11"/>
        <v>55000</v>
      </c>
    </row>
    <row r="252" spans="1:7" s="13" customFormat="1" ht="15.75">
      <c r="A252" s="30" t="s">
        <v>28</v>
      </c>
      <c r="B252" s="23" t="s">
        <v>191</v>
      </c>
      <c r="C252" s="19" t="s">
        <v>196</v>
      </c>
      <c r="D252" s="19">
        <v>850</v>
      </c>
      <c r="E252" s="29">
        <v>55000</v>
      </c>
      <c r="F252" s="29">
        <v>0</v>
      </c>
      <c r="G252" s="25">
        <f t="shared" si="11"/>
        <v>55000</v>
      </c>
    </row>
    <row r="253" spans="1:7" s="13" customFormat="1" ht="15.75">
      <c r="A253" s="22" t="s">
        <v>12</v>
      </c>
      <c r="B253" s="23" t="s">
        <v>191</v>
      </c>
      <c r="C253" s="19" t="s">
        <v>13</v>
      </c>
      <c r="D253" s="19"/>
      <c r="E253" s="24">
        <f aca="true" t="shared" si="12" ref="E253:F256">E254</f>
        <v>0</v>
      </c>
      <c r="F253" s="24">
        <f t="shared" si="12"/>
        <v>68400</v>
      </c>
      <c r="G253" s="25">
        <f t="shared" si="11"/>
        <v>68400</v>
      </c>
    </row>
    <row r="254" spans="1:7" s="13" customFormat="1" ht="15.75">
      <c r="A254" s="26" t="s">
        <v>77</v>
      </c>
      <c r="B254" s="23" t="s">
        <v>191</v>
      </c>
      <c r="C254" s="19" t="s">
        <v>78</v>
      </c>
      <c r="D254" s="19"/>
      <c r="E254" s="24">
        <f t="shared" si="12"/>
        <v>0</v>
      </c>
      <c r="F254" s="24">
        <f t="shared" si="12"/>
        <v>68400</v>
      </c>
      <c r="G254" s="25">
        <f t="shared" si="11"/>
        <v>68400</v>
      </c>
    </row>
    <row r="255" spans="1:7" s="13" customFormat="1" ht="31.5">
      <c r="A255" s="26" t="s">
        <v>130</v>
      </c>
      <c r="B255" s="23" t="s">
        <v>191</v>
      </c>
      <c r="C255" s="19" t="s">
        <v>131</v>
      </c>
      <c r="D255" s="19"/>
      <c r="E255" s="24">
        <f t="shared" si="12"/>
        <v>0</v>
      </c>
      <c r="F255" s="24">
        <f t="shared" si="12"/>
        <v>68400</v>
      </c>
      <c r="G255" s="25">
        <f t="shared" si="11"/>
        <v>68400</v>
      </c>
    </row>
    <row r="256" spans="1:7" s="13" customFormat="1" ht="31.5">
      <c r="A256" s="30" t="s">
        <v>22</v>
      </c>
      <c r="B256" s="23" t="s">
        <v>191</v>
      </c>
      <c r="C256" s="19" t="s">
        <v>131</v>
      </c>
      <c r="D256" s="19">
        <v>200</v>
      </c>
      <c r="E256" s="24">
        <f t="shared" si="12"/>
        <v>0</v>
      </c>
      <c r="F256" s="24">
        <f t="shared" si="12"/>
        <v>68400</v>
      </c>
      <c r="G256" s="25">
        <f t="shared" si="11"/>
        <v>68400</v>
      </c>
    </row>
    <row r="257" spans="1:7" s="13" customFormat="1" ht="31.5">
      <c r="A257" s="30" t="s">
        <v>24</v>
      </c>
      <c r="B257" s="23" t="s">
        <v>191</v>
      </c>
      <c r="C257" s="19" t="s">
        <v>131</v>
      </c>
      <c r="D257" s="19">
        <v>240</v>
      </c>
      <c r="E257" s="24"/>
      <c r="F257" s="29">
        <v>68400</v>
      </c>
      <c r="G257" s="25">
        <f t="shared" si="11"/>
        <v>68400</v>
      </c>
    </row>
    <row r="258" spans="1:7" s="32" customFormat="1" ht="15.75">
      <c r="A258" s="17" t="s">
        <v>197</v>
      </c>
      <c r="B258" s="18" t="s">
        <v>198</v>
      </c>
      <c r="C258" s="19"/>
      <c r="D258" s="19"/>
      <c r="E258" s="20">
        <f aca="true" t="shared" si="13" ref="E258:F262">E259</f>
        <v>800000</v>
      </c>
      <c r="F258" s="20">
        <f t="shared" si="13"/>
        <v>0</v>
      </c>
      <c r="G258" s="21">
        <f t="shared" si="11"/>
        <v>800000</v>
      </c>
    </row>
    <row r="259" spans="1:7" ht="31.5">
      <c r="A259" s="26" t="s">
        <v>192</v>
      </c>
      <c r="B259" s="23" t="s">
        <v>198</v>
      </c>
      <c r="C259" s="19" t="s">
        <v>106</v>
      </c>
      <c r="D259" s="19"/>
      <c r="E259" s="24">
        <f t="shared" si="13"/>
        <v>800000</v>
      </c>
      <c r="F259" s="24">
        <f t="shared" si="13"/>
        <v>0</v>
      </c>
      <c r="G259" s="25">
        <f t="shared" si="11"/>
        <v>800000</v>
      </c>
    </row>
    <row r="260" spans="1:7" s="13" customFormat="1" ht="31.5">
      <c r="A260" s="46" t="s">
        <v>193</v>
      </c>
      <c r="B260" s="23" t="s">
        <v>198</v>
      </c>
      <c r="C260" s="19" t="s">
        <v>194</v>
      </c>
      <c r="D260" s="19"/>
      <c r="E260" s="24">
        <f t="shared" si="13"/>
        <v>800000</v>
      </c>
      <c r="F260" s="24">
        <f t="shared" si="13"/>
        <v>0</v>
      </c>
      <c r="G260" s="25">
        <f t="shared" si="11"/>
        <v>800000</v>
      </c>
    </row>
    <row r="261" spans="1:7" s="13" customFormat="1" ht="31.5">
      <c r="A261" s="46" t="s">
        <v>199</v>
      </c>
      <c r="B261" s="23" t="s">
        <v>198</v>
      </c>
      <c r="C261" s="19" t="s">
        <v>200</v>
      </c>
      <c r="D261" s="19"/>
      <c r="E261" s="29">
        <f t="shared" si="13"/>
        <v>800000</v>
      </c>
      <c r="F261" s="29">
        <f t="shared" si="13"/>
        <v>0</v>
      </c>
      <c r="G261" s="25">
        <f t="shared" si="11"/>
        <v>800000</v>
      </c>
    </row>
    <row r="262" spans="1:7" s="13" customFormat="1" ht="31.5">
      <c r="A262" s="30" t="s">
        <v>22</v>
      </c>
      <c r="B262" s="23" t="s">
        <v>198</v>
      </c>
      <c r="C262" s="19" t="s">
        <v>200</v>
      </c>
      <c r="D262" s="19">
        <v>200</v>
      </c>
      <c r="E262" s="29">
        <f t="shared" si="13"/>
        <v>800000</v>
      </c>
      <c r="F262" s="29">
        <f t="shared" si="13"/>
        <v>0</v>
      </c>
      <c r="G262" s="25">
        <f t="shared" si="11"/>
        <v>800000</v>
      </c>
    </row>
    <row r="263" spans="1:7" s="13" customFormat="1" ht="31.5">
      <c r="A263" s="30" t="s">
        <v>24</v>
      </c>
      <c r="B263" s="23" t="s">
        <v>198</v>
      </c>
      <c r="C263" s="19" t="s">
        <v>200</v>
      </c>
      <c r="D263" s="19">
        <v>240</v>
      </c>
      <c r="E263" s="29">
        <v>800000</v>
      </c>
      <c r="F263" s="29">
        <v>0</v>
      </c>
      <c r="G263" s="25">
        <f>SUM(E263:F263)</f>
        <v>800000</v>
      </c>
    </row>
    <row r="264" spans="1:7" s="13" customFormat="1" ht="15.75">
      <c r="A264" s="14" t="s">
        <v>201</v>
      </c>
      <c r="B264" s="15" t="s">
        <v>202</v>
      </c>
      <c r="C264" s="44"/>
      <c r="D264" s="44"/>
      <c r="E264" s="50">
        <f>SUM(E265,E274,E322,E328,)</f>
        <v>662890095.67</v>
      </c>
      <c r="F264" s="50">
        <f>SUM(F265,F274,F322,F328,)</f>
        <v>313588995.90000004</v>
      </c>
      <c r="G264" s="16">
        <f>SUM(E264:F264)</f>
        <v>976479091.5699999</v>
      </c>
    </row>
    <row r="265" spans="1:7" s="13" customFormat="1" ht="15.75">
      <c r="A265" s="17" t="s">
        <v>203</v>
      </c>
      <c r="B265" s="18" t="s">
        <v>204</v>
      </c>
      <c r="C265" s="44"/>
      <c r="D265" s="44"/>
      <c r="E265" s="20">
        <f>E266</f>
        <v>44000000</v>
      </c>
      <c r="F265" s="20">
        <f>F266</f>
        <v>32000000</v>
      </c>
      <c r="G265" s="21">
        <f>SUM(E265:F265)</f>
        <v>76000000</v>
      </c>
    </row>
    <row r="266" spans="1:7" s="13" customFormat="1" ht="15.75">
      <c r="A266" s="22" t="s">
        <v>12</v>
      </c>
      <c r="B266" s="23" t="s">
        <v>204</v>
      </c>
      <c r="C266" s="19" t="s">
        <v>13</v>
      </c>
      <c r="D266" s="18"/>
      <c r="E266" s="25">
        <f>E267</f>
        <v>44000000</v>
      </c>
      <c r="F266" s="25">
        <f>F267</f>
        <v>32000000</v>
      </c>
      <c r="G266" s="25">
        <f>SUM(E266:F266)</f>
        <v>76000000</v>
      </c>
    </row>
    <row r="267" spans="1:7" s="13" customFormat="1" ht="31.5">
      <c r="A267" s="26" t="s">
        <v>67</v>
      </c>
      <c r="B267" s="23" t="s">
        <v>204</v>
      </c>
      <c r="C267" s="19" t="s">
        <v>68</v>
      </c>
      <c r="D267" s="19"/>
      <c r="E267" s="24">
        <f>E268+E271</f>
        <v>44000000</v>
      </c>
      <c r="F267" s="24">
        <f>F268+F271</f>
        <v>32000000</v>
      </c>
      <c r="G267" s="25">
        <f>SUM(E267:F267)</f>
        <v>76000000</v>
      </c>
    </row>
    <row r="268" spans="1:7" s="32" customFormat="1" ht="15.75">
      <c r="A268" s="26" t="s">
        <v>205</v>
      </c>
      <c r="B268" s="23" t="s">
        <v>204</v>
      </c>
      <c r="C268" s="19" t="s">
        <v>206</v>
      </c>
      <c r="D268" s="19"/>
      <c r="E268" s="24">
        <f>E269</f>
        <v>44000000</v>
      </c>
      <c r="F268" s="29">
        <f>F269</f>
        <v>15000000</v>
      </c>
      <c r="G268" s="25">
        <f>SUM(E268:F268)</f>
        <v>59000000</v>
      </c>
    </row>
    <row r="269" spans="1:7" s="13" customFormat="1" ht="15.75">
      <c r="A269" s="30" t="s">
        <v>26</v>
      </c>
      <c r="B269" s="23" t="s">
        <v>204</v>
      </c>
      <c r="C269" s="19" t="s">
        <v>206</v>
      </c>
      <c r="D269" s="19">
        <v>800</v>
      </c>
      <c r="E269" s="24">
        <f>E270</f>
        <v>44000000</v>
      </c>
      <c r="F269" s="29">
        <f>F270</f>
        <v>15000000</v>
      </c>
      <c r="G269" s="25">
        <f>SUM(E269:F269)</f>
        <v>59000000</v>
      </c>
    </row>
    <row r="270" spans="1:7" s="13" customFormat="1" ht="47.25">
      <c r="A270" s="26" t="s">
        <v>207</v>
      </c>
      <c r="B270" s="23" t="s">
        <v>204</v>
      </c>
      <c r="C270" s="19" t="s">
        <v>206</v>
      </c>
      <c r="D270" s="19">
        <v>810</v>
      </c>
      <c r="E270" s="24">
        <v>44000000</v>
      </c>
      <c r="F270" s="29">
        <f>-6500000+7000000-3500000-7000000+859650+7500000+1640350+200000+8300000+6500000</f>
        <v>15000000</v>
      </c>
      <c r="G270" s="25">
        <f>SUM(E270:F270)</f>
        <v>59000000</v>
      </c>
    </row>
    <row r="271" spans="1:7" s="13" customFormat="1" ht="47.25">
      <c r="A271" s="26" t="s">
        <v>208</v>
      </c>
      <c r="B271" s="23" t="s">
        <v>204</v>
      </c>
      <c r="C271" s="19" t="s">
        <v>209</v>
      </c>
      <c r="D271" s="19"/>
      <c r="E271" s="24">
        <f>E272</f>
        <v>0</v>
      </c>
      <c r="F271" s="29">
        <f>F272</f>
        <v>17000000</v>
      </c>
      <c r="G271" s="25">
        <f>SUM(E271:F271)</f>
        <v>17000000</v>
      </c>
    </row>
    <row r="272" spans="1:7" s="13" customFormat="1" ht="15.75">
      <c r="A272" s="30" t="s">
        <v>26</v>
      </c>
      <c r="B272" s="23" t="s">
        <v>204</v>
      </c>
      <c r="C272" s="19" t="s">
        <v>209</v>
      </c>
      <c r="D272" s="19">
        <v>800</v>
      </c>
      <c r="E272" s="24">
        <f>E273</f>
        <v>0</v>
      </c>
      <c r="F272" s="29">
        <f>F273</f>
        <v>17000000</v>
      </c>
      <c r="G272" s="25">
        <f>SUM(E272:F272)</f>
        <v>17000000</v>
      </c>
    </row>
    <row r="273" spans="1:7" s="13" customFormat="1" ht="47.25">
      <c r="A273" s="26" t="s">
        <v>207</v>
      </c>
      <c r="B273" s="23" t="s">
        <v>204</v>
      </c>
      <c r="C273" s="19" t="s">
        <v>209</v>
      </c>
      <c r="D273" s="19">
        <v>810</v>
      </c>
      <c r="E273" s="24">
        <v>0</v>
      </c>
      <c r="F273" s="29">
        <f>6500000+3500000+7000000</f>
        <v>17000000</v>
      </c>
      <c r="G273" s="25">
        <f>SUM(E273:F273)</f>
        <v>17000000</v>
      </c>
    </row>
    <row r="274" spans="1:7" s="13" customFormat="1" ht="15.75">
      <c r="A274" s="17" t="s">
        <v>210</v>
      </c>
      <c r="B274" s="51" t="s">
        <v>211</v>
      </c>
      <c r="C274" s="44"/>
      <c r="D274" s="44"/>
      <c r="E274" s="20">
        <f>E280+E275</f>
        <v>599511927.67</v>
      </c>
      <c r="F274" s="20">
        <f>F280+F275</f>
        <v>269326190.03000003</v>
      </c>
      <c r="G274" s="21">
        <f>SUM(E274:F274)</f>
        <v>868838117.7</v>
      </c>
    </row>
    <row r="275" spans="1:7" s="13" customFormat="1" ht="31.5">
      <c r="A275" s="28" t="s">
        <v>212</v>
      </c>
      <c r="B275" s="45" t="s">
        <v>211</v>
      </c>
      <c r="C275" s="23" t="s">
        <v>213</v>
      </c>
      <c r="D275" s="23"/>
      <c r="E275" s="24">
        <f aca="true" t="shared" si="14" ref="E275:F278">E276</f>
        <v>300000</v>
      </c>
      <c r="F275" s="24">
        <f t="shared" si="14"/>
        <v>-300000</v>
      </c>
      <c r="G275" s="25">
        <f>SUM(E275:F275)</f>
        <v>0</v>
      </c>
    </row>
    <row r="276" spans="1:7" s="13" customFormat="1" ht="15.75">
      <c r="A276" s="52" t="s">
        <v>214</v>
      </c>
      <c r="B276" s="45" t="s">
        <v>211</v>
      </c>
      <c r="C276" s="23" t="s">
        <v>215</v>
      </c>
      <c r="D276" s="23"/>
      <c r="E276" s="24">
        <f t="shared" si="14"/>
        <v>300000</v>
      </c>
      <c r="F276" s="24">
        <f t="shared" si="14"/>
        <v>-300000</v>
      </c>
      <c r="G276" s="25">
        <f>SUM(E276:F276)</f>
        <v>0</v>
      </c>
    </row>
    <row r="277" spans="1:7" s="13" customFormat="1" ht="31.5">
      <c r="A277" s="28" t="s">
        <v>216</v>
      </c>
      <c r="B277" s="45" t="s">
        <v>211</v>
      </c>
      <c r="C277" s="19" t="s">
        <v>217</v>
      </c>
      <c r="D277" s="23"/>
      <c r="E277" s="24">
        <f t="shared" si="14"/>
        <v>300000</v>
      </c>
      <c r="F277" s="24">
        <f t="shared" si="14"/>
        <v>-300000</v>
      </c>
      <c r="G277" s="25">
        <f>SUM(E277:F277)</f>
        <v>0</v>
      </c>
    </row>
    <row r="278" spans="1:7" s="13" customFormat="1" ht="31.5">
      <c r="A278" s="30" t="s">
        <v>22</v>
      </c>
      <c r="B278" s="45" t="s">
        <v>211</v>
      </c>
      <c r="C278" s="19" t="s">
        <v>217</v>
      </c>
      <c r="D278" s="23" t="s">
        <v>23</v>
      </c>
      <c r="E278" s="24">
        <f t="shared" si="14"/>
        <v>300000</v>
      </c>
      <c r="F278" s="24">
        <f t="shared" si="14"/>
        <v>-300000</v>
      </c>
      <c r="G278" s="25">
        <f>SUM(E278:F278)</f>
        <v>0</v>
      </c>
    </row>
    <row r="279" spans="1:7" s="13" customFormat="1" ht="31.5">
      <c r="A279" s="30" t="s">
        <v>24</v>
      </c>
      <c r="B279" s="45" t="s">
        <v>211</v>
      </c>
      <c r="C279" s="19" t="s">
        <v>217</v>
      </c>
      <c r="D279" s="23" t="s">
        <v>25</v>
      </c>
      <c r="E279" s="24">
        <v>300000</v>
      </c>
      <c r="F279" s="29">
        <v>-300000</v>
      </c>
      <c r="G279" s="25">
        <f>SUM(E279:F279)</f>
        <v>0</v>
      </c>
    </row>
    <row r="280" spans="1:7" s="13" customFormat="1" ht="31.5">
      <c r="A280" s="26" t="s">
        <v>218</v>
      </c>
      <c r="B280" s="45" t="s">
        <v>211</v>
      </c>
      <c r="C280" s="19" t="s">
        <v>219</v>
      </c>
      <c r="D280" s="19"/>
      <c r="E280" s="24">
        <f>SUM(E281,E287,E293,E296,E301,E307,E310,E316,E319,E304,E290,E313)</f>
        <v>599211927.67</v>
      </c>
      <c r="F280" s="24">
        <f>SUM(F281,F287,F293,F296,F301,F307,F310,F316,F319,F304,F290,F313)</f>
        <v>269626190.03000003</v>
      </c>
      <c r="G280" s="25">
        <f>SUM(E280:F280)</f>
        <v>868838117.7</v>
      </c>
    </row>
    <row r="281" spans="1:7" s="13" customFormat="1" ht="31.5">
      <c r="A281" s="26" t="s">
        <v>220</v>
      </c>
      <c r="B281" s="45" t="s">
        <v>211</v>
      </c>
      <c r="C281" s="19" t="s">
        <v>221</v>
      </c>
      <c r="D281" s="19"/>
      <c r="E281" s="24">
        <f>E284+E282</f>
        <v>10000000</v>
      </c>
      <c r="F281" s="24">
        <f>F284+F282</f>
        <v>2408107.3099999996</v>
      </c>
      <c r="G281" s="25">
        <f>SUM(E281:F281)</f>
        <v>12408107.309999999</v>
      </c>
    </row>
    <row r="282" spans="1:7" s="13" customFormat="1" ht="31.5">
      <c r="A282" s="30" t="s">
        <v>22</v>
      </c>
      <c r="B282" s="45" t="s">
        <v>211</v>
      </c>
      <c r="C282" s="19" t="s">
        <v>221</v>
      </c>
      <c r="D282" s="19">
        <v>200</v>
      </c>
      <c r="E282" s="24">
        <f>E283</f>
        <v>0</v>
      </c>
      <c r="F282" s="29">
        <f>F283</f>
        <v>2478273.0799999996</v>
      </c>
      <c r="G282" s="25">
        <f>SUM(E282:F282)</f>
        <v>2478273.0799999996</v>
      </c>
    </row>
    <row r="283" spans="1:7" s="13" customFormat="1" ht="31.5">
      <c r="A283" s="30" t="s">
        <v>24</v>
      </c>
      <c r="B283" s="45" t="s">
        <v>211</v>
      </c>
      <c r="C283" s="19" t="s">
        <v>221</v>
      </c>
      <c r="D283" s="19">
        <v>240</v>
      </c>
      <c r="E283" s="24">
        <v>0</v>
      </c>
      <c r="F283" s="29">
        <f>3148526.68+500000+770000-600000-583080-500000-257173.6</f>
        <v>2478273.0799999996</v>
      </c>
      <c r="G283" s="25">
        <f>SUM(E283:F283)</f>
        <v>2478273.0799999996</v>
      </c>
    </row>
    <row r="284" spans="1:7" s="13" customFormat="1" ht="15.75">
      <c r="A284" s="26" t="s">
        <v>26</v>
      </c>
      <c r="B284" s="45" t="s">
        <v>211</v>
      </c>
      <c r="C284" s="19" t="s">
        <v>221</v>
      </c>
      <c r="D284" s="19">
        <v>800</v>
      </c>
      <c r="E284" s="24">
        <f>E285+E286</f>
        <v>10000000</v>
      </c>
      <c r="F284" s="24">
        <f>F285+F286</f>
        <v>-70165.77000000002</v>
      </c>
      <c r="G284" s="25">
        <f>SUM(E284:F284)</f>
        <v>9929834.23</v>
      </c>
    </row>
    <row r="285" spans="1:7" s="13" customFormat="1" ht="47.25">
      <c r="A285" s="26" t="s">
        <v>207</v>
      </c>
      <c r="B285" s="45" t="s">
        <v>211</v>
      </c>
      <c r="C285" s="19" t="s">
        <v>221</v>
      </c>
      <c r="D285" s="19">
        <v>810</v>
      </c>
      <c r="E285" s="24">
        <v>10000000</v>
      </c>
      <c r="F285" s="29">
        <f>-430065.04+10146.35</f>
        <v>-419918.69</v>
      </c>
      <c r="G285" s="25">
        <f>SUM(E285:F285)</f>
        <v>9580081.31</v>
      </c>
    </row>
    <row r="286" spans="1:7" s="13" customFormat="1" ht="15.75">
      <c r="A286" s="26" t="s">
        <v>28</v>
      </c>
      <c r="B286" s="45" t="s">
        <v>211</v>
      </c>
      <c r="C286" s="19" t="s">
        <v>221</v>
      </c>
      <c r="D286" s="19">
        <v>850</v>
      </c>
      <c r="E286" s="24">
        <v>0</v>
      </c>
      <c r="F286" s="29">
        <v>349752.92</v>
      </c>
      <c r="G286" s="25"/>
    </row>
    <row r="287" spans="1:7" s="13" customFormat="1" ht="31.5">
      <c r="A287" s="26" t="s">
        <v>222</v>
      </c>
      <c r="B287" s="45" t="s">
        <v>211</v>
      </c>
      <c r="C287" s="19" t="s">
        <v>223</v>
      </c>
      <c r="D287" s="19"/>
      <c r="E287" s="24">
        <f>E288</f>
        <v>6000000</v>
      </c>
      <c r="F287" s="24">
        <f>F288</f>
        <v>-2751937.59</v>
      </c>
      <c r="G287" s="25">
        <f aca="true" t="shared" si="15" ref="G287:G350">SUM(E287:F287)</f>
        <v>3248062.41</v>
      </c>
    </row>
    <row r="288" spans="1:7" s="32" customFormat="1" ht="15.75">
      <c r="A288" s="30" t="s">
        <v>26</v>
      </c>
      <c r="B288" s="45" t="s">
        <v>211</v>
      </c>
      <c r="C288" s="19" t="s">
        <v>223</v>
      </c>
      <c r="D288" s="19">
        <v>800</v>
      </c>
      <c r="E288" s="24">
        <f>E289</f>
        <v>6000000</v>
      </c>
      <c r="F288" s="24">
        <f>F289</f>
        <v>-2751937.59</v>
      </c>
      <c r="G288" s="25">
        <f t="shared" si="15"/>
        <v>3248062.41</v>
      </c>
    </row>
    <row r="289" spans="1:7" s="32" customFormat="1" ht="47.25">
      <c r="A289" s="26" t="s">
        <v>207</v>
      </c>
      <c r="B289" s="45" t="s">
        <v>211</v>
      </c>
      <c r="C289" s="19" t="s">
        <v>223</v>
      </c>
      <c r="D289" s="19">
        <v>810</v>
      </c>
      <c r="E289" s="24">
        <v>6000000</v>
      </c>
      <c r="F289" s="29">
        <f>-766642.7-732173.15-10146.35-1242975.39</f>
        <v>-2751937.59</v>
      </c>
      <c r="G289" s="25">
        <f t="shared" si="15"/>
        <v>3248062.41</v>
      </c>
    </row>
    <row r="290" spans="1:7" s="32" customFormat="1" ht="47.25">
      <c r="A290" s="26" t="s">
        <v>224</v>
      </c>
      <c r="B290" s="45" t="s">
        <v>211</v>
      </c>
      <c r="C290" s="19" t="s">
        <v>225</v>
      </c>
      <c r="D290" s="19"/>
      <c r="E290" s="24">
        <f>E291</f>
        <v>0</v>
      </c>
      <c r="F290" s="29">
        <f>F291</f>
        <v>1265200</v>
      </c>
      <c r="G290" s="25">
        <f t="shared" si="15"/>
        <v>1265200</v>
      </c>
    </row>
    <row r="291" spans="1:7" s="32" customFormat="1" ht="15.75">
      <c r="A291" s="30" t="s">
        <v>26</v>
      </c>
      <c r="B291" s="45" t="s">
        <v>211</v>
      </c>
      <c r="C291" s="19" t="s">
        <v>225</v>
      </c>
      <c r="D291" s="19">
        <v>800</v>
      </c>
      <c r="E291" s="24">
        <f>E292</f>
        <v>0</v>
      </c>
      <c r="F291" s="29">
        <f>F292</f>
        <v>1265200</v>
      </c>
      <c r="G291" s="25">
        <f t="shared" si="15"/>
        <v>1265200</v>
      </c>
    </row>
    <row r="292" spans="1:7" s="32" customFormat="1" ht="47.25">
      <c r="A292" s="26" t="s">
        <v>207</v>
      </c>
      <c r="B292" s="45" t="s">
        <v>211</v>
      </c>
      <c r="C292" s="19" t="s">
        <v>225</v>
      </c>
      <c r="D292" s="19">
        <v>810</v>
      </c>
      <c r="E292" s="24">
        <v>0</v>
      </c>
      <c r="F292" s="29">
        <v>1265200</v>
      </c>
      <c r="G292" s="25">
        <f t="shared" si="15"/>
        <v>1265200</v>
      </c>
    </row>
    <row r="293" spans="1:7" s="32" customFormat="1" ht="47.25">
      <c r="A293" s="26" t="s">
        <v>226</v>
      </c>
      <c r="B293" s="45" t="s">
        <v>211</v>
      </c>
      <c r="C293" s="19" t="s">
        <v>227</v>
      </c>
      <c r="D293" s="19"/>
      <c r="E293" s="24">
        <f>E294</f>
        <v>25000000</v>
      </c>
      <c r="F293" s="24">
        <f>F294</f>
        <v>-6030000</v>
      </c>
      <c r="G293" s="25">
        <f t="shared" si="15"/>
        <v>18970000</v>
      </c>
    </row>
    <row r="294" spans="1:7" s="32" customFormat="1" ht="15.75">
      <c r="A294" s="30" t="s">
        <v>26</v>
      </c>
      <c r="B294" s="45" t="s">
        <v>211</v>
      </c>
      <c r="C294" s="19" t="s">
        <v>227</v>
      </c>
      <c r="D294" s="19">
        <v>800</v>
      </c>
      <c r="E294" s="24">
        <f>E295</f>
        <v>25000000</v>
      </c>
      <c r="F294" s="24">
        <f>F295</f>
        <v>-6030000</v>
      </c>
      <c r="G294" s="25">
        <f t="shared" si="15"/>
        <v>18970000</v>
      </c>
    </row>
    <row r="295" spans="1:7" s="32" customFormat="1" ht="47.25">
      <c r="A295" s="26" t="s">
        <v>207</v>
      </c>
      <c r="B295" s="45" t="s">
        <v>211</v>
      </c>
      <c r="C295" s="19" t="s">
        <v>227</v>
      </c>
      <c r="D295" s="19">
        <v>810</v>
      </c>
      <c r="E295" s="24">
        <v>25000000</v>
      </c>
      <c r="F295" s="29">
        <f>-3150000-1600000-380000-900000</f>
        <v>-6030000</v>
      </c>
      <c r="G295" s="25">
        <f t="shared" si="15"/>
        <v>18970000</v>
      </c>
    </row>
    <row r="296" spans="1:7" s="32" customFormat="1" ht="31.5">
      <c r="A296" s="26" t="s">
        <v>228</v>
      </c>
      <c r="B296" s="45" t="s">
        <v>211</v>
      </c>
      <c r="C296" s="19" t="s">
        <v>229</v>
      </c>
      <c r="D296" s="19"/>
      <c r="E296" s="24">
        <f>SUM(E297,E299)</f>
        <v>239600000</v>
      </c>
      <c r="F296" s="24">
        <f>SUM(F297,F299)</f>
        <v>-28751465.07</v>
      </c>
      <c r="G296" s="25">
        <f t="shared" si="15"/>
        <v>210848534.93</v>
      </c>
    </row>
    <row r="297" spans="1:7" s="32" customFormat="1" ht="31.5">
      <c r="A297" s="30" t="s">
        <v>22</v>
      </c>
      <c r="B297" s="45" t="s">
        <v>211</v>
      </c>
      <c r="C297" s="19" t="s">
        <v>229</v>
      </c>
      <c r="D297" s="19">
        <v>200</v>
      </c>
      <c r="E297" s="24">
        <f>E298</f>
        <v>4600000</v>
      </c>
      <c r="F297" s="29">
        <f>F298</f>
        <v>-3393695</v>
      </c>
      <c r="G297" s="25">
        <f t="shared" si="15"/>
        <v>1206305</v>
      </c>
    </row>
    <row r="298" spans="1:7" s="32" customFormat="1" ht="31.5">
      <c r="A298" s="30" t="s">
        <v>24</v>
      </c>
      <c r="B298" s="45" t="s">
        <v>211</v>
      </c>
      <c r="C298" s="19" t="s">
        <v>229</v>
      </c>
      <c r="D298" s="19">
        <v>240</v>
      </c>
      <c r="E298" s="24">
        <v>4600000</v>
      </c>
      <c r="F298" s="29">
        <v>-3393695</v>
      </c>
      <c r="G298" s="25">
        <f t="shared" si="15"/>
        <v>1206305</v>
      </c>
    </row>
    <row r="299" spans="1:7" s="32" customFormat="1" ht="15.75">
      <c r="A299" s="26" t="s">
        <v>26</v>
      </c>
      <c r="B299" s="45" t="s">
        <v>211</v>
      </c>
      <c r="C299" s="19" t="s">
        <v>229</v>
      </c>
      <c r="D299" s="19">
        <v>800</v>
      </c>
      <c r="E299" s="24">
        <f>E300</f>
        <v>235000000</v>
      </c>
      <c r="F299" s="24">
        <f>F300</f>
        <v>-25357770.07</v>
      </c>
      <c r="G299" s="25">
        <f t="shared" si="15"/>
        <v>209642229.93</v>
      </c>
    </row>
    <row r="300" spans="1:7" s="32" customFormat="1" ht="47.25">
      <c r="A300" s="26" t="s">
        <v>207</v>
      </c>
      <c r="B300" s="45" t="s">
        <v>211</v>
      </c>
      <c r="C300" s="19" t="s">
        <v>229</v>
      </c>
      <c r="D300" s="19">
        <v>810</v>
      </c>
      <c r="E300" s="24">
        <v>235000000</v>
      </c>
      <c r="F300" s="29">
        <f>-3148526.68-27710770+16431395.06-7754519+1568007.2-192691.62+583080-7868091.15-7500000+408334.97+1337409.49+1196707.74+8200070.77-5501915.56-1640350+732173.15-4746370.15+10248285.71</f>
        <v>-25357770.07</v>
      </c>
      <c r="G300" s="25">
        <f t="shared" si="15"/>
        <v>209642229.93</v>
      </c>
    </row>
    <row r="301" spans="1:7" s="32" customFormat="1" ht="31.5">
      <c r="A301" s="22" t="s">
        <v>230</v>
      </c>
      <c r="B301" s="45" t="s">
        <v>211</v>
      </c>
      <c r="C301" s="19" t="s">
        <v>231</v>
      </c>
      <c r="D301" s="19"/>
      <c r="E301" s="24">
        <f>E302</f>
        <v>20000000</v>
      </c>
      <c r="F301" s="24">
        <f>F302</f>
        <v>1670640.2800000003</v>
      </c>
      <c r="G301" s="25">
        <f t="shared" si="15"/>
        <v>21670640.28</v>
      </c>
    </row>
    <row r="302" spans="1:7" s="32" customFormat="1" ht="15.75">
      <c r="A302" s="26" t="s">
        <v>26</v>
      </c>
      <c r="B302" s="45" t="s">
        <v>211</v>
      </c>
      <c r="C302" s="19" t="s">
        <v>231</v>
      </c>
      <c r="D302" s="19">
        <v>800</v>
      </c>
      <c r="E302" s="24">
        <f>E303</f>
        <v>20000000</v>
      </c>
      <c r="F302" s="24">
        <f>F303</f>
        <v>1670640.2800000003</v>
      </c>
      <c r="G302" s="25">
        <f t="shared" si="15"/>
        <v>21670640.28</v>
      </c>
    </row>
    <row r="303" spans="1:7" s="32" customFormat="1" ht="47.25">
      <c r="A303" s="26" t="s">
        <v>207</v>
      </c>
      <c r="B303" s="45" t="s">
        <v>211</v>
      </c>
      <c r="C303" s="19" t="s">
        <v>231</v>
      </c>
      <c r="D303" s="19">
        <v>810</v>
      </c>
      <c r="E303" s="24">
        <v>20000000</v>
      </c>
      <c r="F303" s="29">
        <f>-382902.11-89433+2142975.39</f>
        <v>1670640.2800000003</v>
      </c>
      <c r="G303" s="25">
        <f t="shared" si="15"/>
        <v>21670640.28</v>
      </c>
    </row>
    <row r="304" spans="1:7" s="32" customFormat="1" ht="47.25">
      <c r="A304" s="26" t="s">
        <v>232</v>
      </c>
      <c r="B304" s="45" t="s">
        <v>211</v>
      </c>
      <c r="C304" s="19" t="s">
        <v>233</v>
      </c>
      <c r="D304" s="19"/>
      <c r="E304" s="24">
        <f>E305</f>
        <v>0</v>
      </c>
      <c r="F304" s="24">
        <f>F305</f>
        <v>17545577.11</v>
      </c>
      <c r="G304" s="25">
        <f t="shared" si="15"/>
        <v>17545577.11</v>
      </c>
    </row>
    <row r="305" spans="1:7" s="32" customFormat="1" ht="31.5">
      <c r="A305" s="30" t="s">
        <v>22</v>
      </c>
      <c r="B305" s="45" t="s">
        <v>211</v>
      </c>
      <c r="C305" s="19" t="s">
        <v>233</v>
      </c>
      <c r="D305" s="19">
        <v>200</v>
      </c>
      <c r="E305" s="24">
        <f>E306</f>
        <v>0</v>
      </c>
      <c r="F305" s="24">
        <f>F306</f>
        <v>17545577.11</v>
      </c>
      <c r="G305" s="25">
        <f t="shared" si="15"/>
        <v>17545577.11</v>
      </c>
    </row>
    <row r="306" spans="1:7" s="32" customFormat="1" ht="31.5">
      <c r="A306" s="30" t="s">
        <v>24</v>
      </c>
      <c r="B306" s="45" t="s">
        <v>211</v>
      </c>
      <c r="C306" s="19" t="s">
        <v>233</v>
      </c>
      <c r="D306" s="19">
        <v>240</v>
      </c>
      <c r="E306" s="24">
        <v>0</v>
      </c>
      <c r="F306" s="29">
        <f>7500000+382902.11+9162675+500000</f>
        <v>17545577.11</v>
      </c>
      <c r="G306" s="25">
        <f t="shared" si="15"/>
        <v>17545577.11</v>
      </c>
    </row>
    <row r="307" spans="1:7" s="32" customFormat="1" ht="31.5">
      <c r="A307" s="26" t="s">
        <v>234</v>
      </c>
      <c r="B307" s="45" t="s">
        <v>211</v>
      </c>
      <c r="C307" s="23" t="s">
        <v>235</v>
      </c>
      <c r="D307" s="19"/>
      <c r="E307" s="24">
        <f>E308</f>
        <v>9500000</v>
      </c>
      <c r="F307" s="29">
        <f>F308</f>
        <v>-2124611.8100000024</v>
      </c>
      <c r="G307" s="25">
        <f t="shared" si="15"/>
        <v>7375388.189999998</v>
      </c>
    </row>
    <row r="308" spans="1:7" s="32" customFormat="1" ht="31.5">
      <c r="A308" s="26" t="s">
        <v>236</v>
      </c>
      <c r="B308" s="45" t="s">
        <v>211</v>
      </c>
      <c r="C308" s="23" t="s">
        <v>235</v>
      </c>
      <c r="D308" s="19">
        <v>400</v>
      </c>
      <c r="E308" s="24">
        <f>E309</f>
        <v>9500000</v>
      </c>
      <c r="F308" s="29">
        <f>F309</f>
        <v>-2124611.8100000024</v>
      </c>
      <c r="G308" s="25">
        <f t="shared" si="15"/>
        <v>7375388.189999998</v>
      </c>
    </row>
    <row r="309" spans="1:7" s="32" customFormat="1" ht="15.75">
      <c r="A309" s="53" t="s">
        <v>237</v>
      </c>
      <c r="B309" s="54" t="s">
        <v>211</v>
      </c>
      <c r="C309" s="55" t="s">
        <v>235</v>
      </c>
      <c r="D309" s="56">
        <v>410</v>
      </c>
      <c r="E309" s="57">
        <f>4000000+5000000+500000</f>
        <v>9500000</v>
      </c>
      <c r="F309" s="29">
        <f>-9925.67+20000000+972107.07-500000+302000-1505227.26-91052.11-92579.32-6500000-14697342.78-2591.74</f>
        <v>-2124611.8100000024</v>
      </c>
      <c r="G309" s="25">
        <f t="shared" si="15"/>
        <v>7375388.189999998</v>
      </c>
    </row>
    <row r="310" spans="1:7" s="32" customFormat="1" ht="63">
      <c r="A310" s="26" t="s">
        <v>238</v>
      </c>
      <c r="B310" s="45" t="s">
        <v>211</v>
      </c>
      <c r="C310" s="23" t="s">
        <v>239</v>
      </c>
      <c r="D310" s="19"/>
      <c r="E310" s="24">
        <f>E311</f>
        <v>166222727.67</v>
      </c>
      <c r="F310" s="24">
        <f>F311</f>
        <v>19820929.00000001</v>
      </c>
      <c r="G310" s="25">
        <f t="shared" si="15"/>
        <v>186043656.67</v>
      </c>
    </row>
    <row r="311" spans="1:7" s="32" customFormat="1" ht="31.5">
      <c r="A311" s="26" t="s">
        <v>236</v>
      </c>
      <c r="B311" s="45" t="s">
        <v>211</v>
      </c>
      <c r="C311" s="23" t="s">
        <v>239</v>
      </c>
      <c r="D311" s="19">
        <v>400</v>
      </c>
      <c r="E311" s="24">
        <f>E312</f>
        <v>166222727.67</v>
      </c>
      <c r="F311" s="24">
        <f>F312</f>
        <v>19820929.00000001</v>
      </c>
      <c r="G311" s="25">
        <f t="shared" si="15"/>
        <v>186043656.67</v>
      </c>
    </row>
    <row r="312" spans="1:7" s="32" customFormat="1" ht="15.75">
      <c r="A312" s="26" t="s">
        <v>237</v>
      </c>
      <c r="B312" s="45" t="s">
        <v>211</v>
      </c>
      <c r="C312" s="23" t="s">
        <v>239</v>
      </c>
      <c r="D312" s="19">
        <v>410</v>
      </c>
      <c r="E312" s="24">
        <f>164560500.39+1662227.28</f>
        <v>166222727.67</v>
      </c>
      <c r="F312" s="29">
        <f>238312.27-164560500.39+188153467.92-4010350.8</f>
        <v>19820929.00000001</v>
      </c>
      <c r="G312" s="25">
        <f t="shared" si="15"/>
        <v>186043656.67</v>
      </c>
    </row>
    <row r="313" spans="1:7" s="32" customFormat="1" ht="110.25">
      <c r="A313" s="58" t="s">
        <v>240</v>
      </c>
      <c r="B313" s="45" t="s">
        <v>211</v>
      </c>
      <c r="C313" s="23" t="s">
        <v>241</v>
      </c>
      <c r="D313" s="19"/>
      <c r="E313" s="24">
        <f>E314</f>
        <v>0</v>
      </c>
      <c r="F313" s="29">
        <f>F314</f>
        <v>244073750.8</v>
      </c>
      <c r="G313" s="25">
        <f t="shared" si="15"/>
        <v>244073750.8</v>
      </c>
    </row>
    <row r="314" spans="1:7" s="32" customFormat="1" ht="31.5">
      <c r="A314" s="26" t="s">
        <v>236</v>
      </c>
      <c r="B314" s="45" t="s">
        <v>211</v>
      </c>
      <c r="C314" s="23" t="s">
        <v>241</v>
      </c>
      <c r="D314" s="19">
        <v>400</v>
      </c>
      <c r="E314" s="24">
        <f>E315</f>
        <v>0</v>
      </c>
      <c r="F314" s="29">
        <f>F315</f>
        <v>244073750.8</v>
      </c>
      <c r="G314" s="25">
        <f t="shared" si="15"/>
        <v>244073750.8</v>
      </c>
    </row>
    <row r="315" spans="1:7" s="32" customFormat="1" ht="15.75">
      <c r="A315" s="26" t="s">
        <v>237</v>
      </c>
      <c r="B315" s="45" t="s">
        <v>211</v>
      </c>
      <c r="C315" s="23" t="s">
        <v>241</v>
      </c>
      <c r="D315" s="19">
        <v>410</v>
      </c>
      <c r="E315" s="24">
        <v>0</v>
      </c>
      <c r="F315" s="29">
        <f>2400633.34+237662766.66+4010350.8</f>
        <v>244073750.8</v>
      </c>
      <c r="G315" s="25">
        <f t="shared" si="15"/>
        <v>244073750.8</v>
      </c>
    </row>
    <row r="316" spans="1:7" s="32" customFormat="1" ht="63">
      <c r="A316" s="26" t="s">
        <v>242</v>
      </c>
      <c r="B316" s="45" t="s">
        <v>211</v>
      </c>
      <c r="C316" s="23" t="s">
        <v>243</v>
      </c>
      <c r="D316" s="19"/>
      <c r="E316" s="24">
        <f>E317</f>
        <v>63193000</v>
      </c>
      <c r="F316" s="24">
        <f>F317</f>
        <v>0</v>
      </c>
      <c r="G316" s="25">
        <f t="shared" si="15"/>
        <v>63193000</v>
      </c>
    </row>
    <row r="317" spans="1:7" s="32" customFormat="1" ht="31.5">
      <c r="A317" s="30" t="s">
        <v>22</v>
      </c>
      <c r="B317" s="45" t="s">
        <v>211</v>
      </c>
      <c r="C317" s="23" t="s">
        <v>243</v>
      </c>
      <c r="D317" s="19">
        <v>200</v>
      </c>
      <c r="E317" s="24">
        <f>E318</f>
        <v>63193000</v>
      </c>
      <c r="F317" s="24">
        <f>F318</f>
        <v>0</v>
      </c>
      <c r="G317" s="25">
        <f t="shared" si="15"/>
        <v>63193000</v>
      </c>
    </row>
    <row r="318" spans="1:7" s="32" customFormat="1" ht="31.5">
      <c r="A318" s="30" t="s">
        <v>24</v>
      </c>
      <c r="B318" s="45" t="s">
        <v>211</v>
      </c>
      <c r="C318" s="23" t="s">
        <v>243</v>
      </c>
      <c r="D318" s="19">
        <v>240</v>
      </c>
      <c r="E318" s="24">
        <v>63193000</v>
      </c>
      <c r="F318" s="29">
        <v>0</v>
      </c>
      <c r="G318" s="25">
        <f t="shared" si="15"/>
        <v>63193000</v>
      </c>
    </row>
    <row r="319" spans="1:7" s="32" customFormat="1" ht="78.75">
      <c r="A319" s="30" t="s">
        <v>244</v>
      </c>
      <c r="B319" s="45" t="s">
        <v>211</v>
      </c>
      <c r="C319" s="23" t="s">
        <v>245</v>
      </c>
      <c r="D319" s="19"/>
      <c r="E319" s="24">
        <f>E320</f>
        <v>59696200</v>
      </c>
      <c r="F319" s="29">
        <f>F320</f>
        <v>22500000</v>
      </c>
      <c r="G319" s="25">
        <f t="shared" si="15"/>
        <v>82196200</v>
      </c>
    </row>
    <row r="320" spans="1:7" s="32" customFormat="1" ht="31.5">
      <c r="A320" s="30" t="s">
        <v>22</v>
      </c>
      <c r="B320" s="45" t="s">
        <v>211</v>
      </c>
      <c r="C320" s="23" t="s">
        <v>245</v>
      </c>
      <c r="D320" s="19">
        <v>200</v>
      </c>
      <c r="E320" s="24">
        <f>E321</f>
        <v>59696200</v>
      </c>
      <c r="F320" s="29">
        <f>F321</f>
        <v>22500000</v>
      </c>
      <c r="G320" s="25">
        <f t="shared" si="15"/>
        <v>82196200</v>
      </c>
    </row>
    <row r="321" spans="1:7" s="32" customFormat="1" ht="31.5">
      <c r="A321" s="30" t="s">
        <v>24</v>
      </c>
      <c r="B321" s="45" t="s">
        <v>211</v>
      </c>
      <c r="C321" s="23" t="s">
        <v>245</v>
      </c>
      <c r="D321" s="19">
        <v>240</v>
      </c>
      <c r="E321" s="24">
        <f>6144460+53551740</f>
        <v>59696200</v>
      </c>
      <c r="F321" s="29">
        <v>22500000</v>
      </c>
      <c r="G321" s="25">
        <f t="shared" si="15"/>
        <v>82196200</v>
      </c>
    </row>
    <row r="322" spans="1:7" s="32" customFormat="1" ht="15.75">
      <c r="A322" s="33" t="s">
        <v>246</v>
      </c>
      <c r="B322" s="51" t="s">
        <v>247</v>
      </c>
      <c r="C322" s="18"/>
      <c r="D322" s="34"/>
      <c r="E322" s="20">
        <f aca="true" t="shared" si="16" ref="E322:F326">E323</f>
        <v>0</v>
      </c>
      <c r="F322" s="20">
        <f t="shared" si="16"/>
        <v>2017190</v>
      </c>
      <c r="G322" s="21">
        <f t="shared" si="15"/>
        <v>2017190</v>
      </c>
    </row>
    <row r="323" spans="1:7" s="32" customFormat="1" ht="15.75">
      <c r="A323" s="30" t="s">
        <v>12</v>
      </c>
      <c r="B323" s="45" t="s">
        <v>247</v>
      </c>
      <c r="C323" s="19" t="s">
        <v>13</v>
      </c>
      <c r="D323" s="19"/>
      <c r="E323" s="24">
        <f t="shared" si="16"/>
        <v>0</v>
      </c>
      <c r="F323" s="24">
        <f t="shared" si="16"/>
        <v>2017190</v>
      </c>
      <c r="G323" s="25">
        <f t="shared" si="15"/>
        <v>2017190</v>
      </c>
    </row>
    <row r="324" spans="1:7" s="32" customFormat="1" ht="15.75">
      <c r="A324" s="30" t="s">
        <v>77</v>
      </c>
      <c r="B324" s="45" t="s">
        <v>247</v>
      </c>
      <c r="C324" s="19" t="s">
        <v>78</v>
      </c>
      <c r="D324" s="19"/>
      <c r="E324" s="24">
        <f t="shared" si="16"/>
        <v>0</v>
      </c>
      <c r="F324" s="24">
        <f t="shared" si="16"/>
        <v>2017190</v>
      </c>
      <c r="G324" s="25">
        <f t="shared" si="15"/>
        <v>2017190</v>
      </c>
    </row>
    <row r="325" spans="1:7" s="32" customFormat="1" ht="63">
      <c r="A325" s="30" t="s">
        <v>248</v>
      </c>
      <c r="B325" s="45" t="s">
        <v>247</v>
      </c>
      <c r="C325" s="19" t="s">
        <v>249</v>
      </c>
      <c r="D325" s="19"/>
      <c r="E325" s="24">
        <f t="shared" si="16"/>
        <v>0</v>
      </c>
      <c r="F325" s="24">
        <f t="shared" si="16"/>
        <v>2017190</v>
      </c>
      <c r="G325" s="25">
        <f t="shared" si="15"/>
        <v>2017190</v>
      </c>
    </row>
    <row r="326" spans="1:7" s="32" customFormat="1" ht="31.5">
      <c r="A326" s="30" t="s">
        <v>22</v>
      </c>
      <c r="B326" s="45" t="s">
        <v>247</v>
      </c>
      <c r="C326" s="19" t="s">
        <v>249</v>
      </c>
      <c r="D326" s="19">
        <v>200</v>
      </c>
      <c r="E326" s="24">
        <f t="shared" si="16"/>
        <v>0</v>
      </c>
      <c r="F326" s="24">
        <f t="shared" si="16"/>
        <v>2017190</v>
      </c>
      <c r="G326" s="25">
        <f t="shared" si="15"/>
        <v>2017190</v>
      </c>
    </row>
    <row r="327" spans="1:7" s="32" customFormat="1" ht="31.5">
      <c r="A327" s="30" t="s">
        <v>24</v>
      </c>
      <c r="B327" s="45" t="s">
        <v>247</v>
      </c>
      <c r="C327" s="19" t="s">
        <v>249</v>
      </c>
      <c r="D327" s="19">
        <v>240</v>
      </c>
      <c r="E327" s="24"/>
      <c r="F327" s="29">
        <v>2017190</v>
      </c>
      <c r="G327" s="25">
        <f t="shared" si="15"/>
        <v>2017190</v>
      </c>
    </row>
    <row r="328" spans="1:7" s="32" customFormat="1" ht="15.75">
      <c r="A328" s="17" t="s">
        <v>250</v>
      </c>
      <c r="B328" s="18" t="s">
        <v>251</v>
      </c>
      <c r="C328" s="44"/>
      <c r="D328" s="44"/>
      <c r="E328" s="20">
        <f>SUM(E359,E329,E370)</f>
        <v>19378168</v>
      </c>
      <c r="F328" s="20">
        <f>SUM(F359,F329,F370)</f>
        <v>10245615.87</v>
      </c>
      <c r="G328" s="21">
        <f t="shared" si="15"/>
        <v>29623783.869999997</v>
      </c>
    </row>
    <row r="329" spans="1:7" s="32" customFormat="1" ht="47.25">
      <c r="A329" s="26" t="s">
        <v>252</v>
      </c>
      <c r="B329" s="23" t="s">
        <v>251</v>
      </c>
      <c r="C329" s="19" t="s">
        <v>253</v>
      </c>
      <c r="D329" s="19"/>
      <c r="E329" s="24">
        <f>SUM(E330,E343)</f>
        <v>18912210</v>
      </c>
      <c r="F329" s="24">
        <f>SUM(F330,F343)</f>
        <v>-179518.8</v>
      </c>
      <c r="G329" s="25">
        <f t="shared" si="15"/>
        <v>18732691.2</v>
      </c>
    </row>
    <row r="330" spans="1:7" s="32" customFormat="1" ht="31.5">
      <c r="A330" s="26" t="s">
        <v>254</v>
      </c>
      <c r="B330" s="23" t="s">
        <v>251</v>
      </c>
      <c r="C330" s="19" t="s">
        <v>255</v>
      </c>
      <c r="D330" s="19"/>
      <c r="E330" s="24">
        <f>SUM(E331,E334,E337,E340)</f>
        <v>3212210</v>
      </c>
      <c r="F330" s="24">
        <f>SUM(F331,F334,F337,F340)</f>
        <v>-269902.8</v>
      </c>
      <c r="G330" s="25">
        <f t="shared" si="15"/>
        <v>2942307.2</v>
      </c>
    </row>
    <row r="331" spans="1:7" s="32" customFormat="1" ht="78.75">
      <c r="A331" s="26" t="s">
        <v>256</v>
      </c>
      <c r="B331" s="23" t="s">
        <v>251</v>
      </c>
      <c r="C331" s="19" t="s">
        <v>257</v>
      </c>
      <c r="D331" s="19"/>
      <c r="E331" s="24">
        <f>E332</f>
        <v>100000</v>
      </c>
      <c r="F331" s="24">
        <f>F332</f>
        <v>-100000</v>
      </c>
      <c r="G331" s="25">
        <f t="shared" si="15"/>
        <v>0</v>
      </c>
    </row>
    <row r="332" spans="1:7" s="32" customFormat="1" ht="15.75">
      <c r="A332" s="26" t="s">
        <v>26</v>
      </c>
      <c r="B332" s="23" t="s">
        <v>251</v>
      </c>
      <c r="C332" s="19" t="s">
        <v>257</v>
      </c>
      <c r="D332" s="19">
        <v>800</v>
      </c>
      <c r="E332" s="24">
        <f>E333</f>
        <v>100000</v>
      </c>
      <c r="F332" s="24">
        <f>F333</f>
        <v>-100000</v>
      </c>
      <c r="G332" s="25">
        <f t="shared" si="15"/>
        <v>0</v>
      </c>
    </row>
    <row r="333" spans="1:7" s="32" customFormat="1" ht="47.25">
      <c r="A333" s="26" t="s">
        <v>207</v>
      </c>
      <c r="B333" s="23" t="s">
        <v>251</v>
      </c>
      <c r="C333" s="19" t="s">
        <v>257</v>
      </c>
      <c r="D333" s="19">
        <v>810</v>
      </c>
      <c r="E333" s="24">
        <v>100000</v>
      </c>
      <c r="F333" s="29">
        <v>-100000</v>
      </c>
      <c r="G333" s="25">
        <f t="shared" si="15"/>
        <v>0</v>
      </c>
    </row>
    <row r="334" spans="1:7" s="32" customFormat="1" ht="31.5">
      <c r="A334" s="26" t="s">
        <v>258</v>
      </c>
      <c r="B334" s="23" t="s">
        <v>251</v>
      </c>
      <c r="C334" s="19" t="s">
        <v>259</v>
      </c>
      <c r="D334" s="19"/>
      <c r="E334" s="24">
        <f>E335</f>
        <v>912210</v>
      </c>
      <c r="F334" s="24">
        <f>F335</f>
        <v>-241055.99999999994</v>
      </c>
      <c r="G334" s="25">
        <f t="shared" si="15"/>
        <v>671154</v>
      </c>
    </row>
    <row r="335" spans="1:7" s="32" customFormat="1" ht="15.75">
      <c r="A335" s="26" t="s">
        <v>26</v>
      </c>
      <c r="B335" s="23" t="s">
        <v>251</v>
      </c>
      <c r="C335" s="19" t="s">
        <v>259</v>
      </c>
      <c r="D335" s="19">
        <v>800</v>
      </c>
      <c r="E335" s="24">
        <f>E336</f>
        <v>912210</v>
      </c>
      <c r="F335" s="24">
        <f>F336</f>
        <v>-241055.99999999994</v>
      </c>
      <c r="G335" s="25">
        <f t="shared" si="15"/>
        <v>671154</v>
      </c>
    </row>
    <row r="336" spans="1:7" s="32" customFormat="1" ht="47.25">
      <c r="A336" s="26" t="s">
        <v>207</v>
      </c>
      <c r="B336" s="23" t="s">
        <v>251</v>
      </c>
      <c r="C336" s="19" t="s">
        <v>259</v>
      </c>
      <c r="D336" s="19">
        <v>810</v>
      </c>
      <c r="E336" s="24">
        <f>800000+112210</f>
        <v>912210</v>
      </c>
      <c r="F336" s="29">
        <f>230097.2-671153.2+200000</f>
        <v>-241055.99999999994</v>
      </c>
      <c r="G336" s="25">
        <f t="shared" si="15"/>
        <v>671154</v>
      </c>
    </row>
    <row r="337" spans="1:7" s="32" customFormat="1" ht="63">
      <c r="A337" s="26" t="s">
        <v>260</v>
      </c>
      <c r="B337" s="23" t="s">
        <v>251</v>
      </c>
      <c r="C337" s="19" t="s">
        <v>261</v>
      </c>
      <c r="D337" s="19"/>
      <c r="E337" s="24">
        <f>E338</f>
        <v>2100000</v>
      </c>
      <c r="F337" s="24">
        <f>F338</f>
        <v>171153.19999999995</v>
      </c>
      <c r="G337" s="25">
        <f t="shared" si="15"/>
        <v>2271153.2</v>
      </c>
    </row>
    <row r="338" spans="1:7" s="32" customFormat="1" ht="15.75">
      <c r="A338" s="26" t="s">
        <v>26</v>
      </c>
      <c r="B338" s="23" t="s">
        <v>251</v>
      </c>
      <c r="C338" s="19" t="s">
        <v>261</v>
      </c>
      <c r="D338" s="19">
        <v>800</v>
      </c>
      <c r="E338" s="24">
        <f>E339</f>
        <v>2100000</v>
      </c>
      <c r="F338" s="24">
        <f>F339</f>
        <v>171153.19999999995</v>
      </c>
      <c r="G338" s="25">
        <f t="shared" si="15"/>
        <v>2271153.2</v>
      </c>
    </row>
    <row r="339" spans="1:7" s="32" customFormat="1" ht="47.25">
      <c r="A339" s="26" t="s">
        <v>207</v>
      </c>
      <c r="B339" s="23" t="s">
        <v>251</v>
      </c>
      <c r="C339" s="19" t="s">
        <v>261</v>
      </c>
      <c r="D339" s="19">
        <v>810</v>
      </c>
      <c r="E339" s="24">
        <f>600000+1500000</f>
        <v>2100000</v>
      </c>
      <c r="F339" s="29">
        <f>-800000+671153.2+300000</f>
        <v>171153.19999999995</v>
      </c>
      <c r="G339" s="25">
        <f t="shared" si="15"/>
        <v>2271153.2</v>
      </c>
    </row>
    <row r="340" spans="1:7" s="13" customFormat="1" ht="47.25">
      <c r="A340" s="26" t="s">
        <v>262</v>
      </c>
      <c r="B340" s="23" t="s">
        <v>251</v>
      </c>
      <c r="C340" s="19" t="s">
        <v>263</v>
      </c>
      <c r="D340" s="19"/>
      <c r="E340" s="24">
        <f>E341</f>
        <v>100000</v>
      </c>
      <c r="F340" s="24">
        <f>F341</f>
        <v>-100000</v>
      </c>
      <c r="G340" s="25">
        <f t="shared" si="15"/>
        <v>0</v>
      </c>
    </row>
    <row r="341" spans="1:7" s="32" customFormat="1" ht="31.5">
      <c r="A341" s="30" t="s">
        <v>22</v>
      </c>
      <c r="B341" s="23" t="s">
        <v>251</v>
      </c>
      <c r="C341" s="19" t="s">
        <v>263</v>
      </c>
      <c r="D341" s="19">
        <v>200</v>
      </c>
      <c r="E341" s="24">
        <f>E342</f>
        <v>100000</v>
      </c>
      <c r="F341" s="24">
        <f>F342</f>
        <v>-100000</v>
      </c>
      <c r="G341" s="25">
        <f t="shared" si="15"/>
        <v>0</v>
      </c>
    </row>
    <row r="342" spans="1:7" s="32" customFormat="1" ht="31.5">
      <c r="A342" s="30" t="s">
        <v>24</v>
      </c>
      <c r="B342" s="23" t="s">
        <v>251</v>
      </c>
      <c r="C342" s="19" t="s">
        <v>263</v>
      </c>
      <c r="D342" s="19">
        <v>240</v>
      </c>
      <c r="E342" s="24">
        <v>100000</v>
      </c>
      <c r="F342" s="29">
        <v>-100000</v>
      </c>
      <c r="G342" s="25">
        <f t="shared" si="15"/>
        <v>0</v>
      </c>
    </row>
    <row r="343" spans="1:7" s="32" customFormat="1" ht="31.5">
      <c r="A343" s="26" t="s">
        <v>264</v>
      </c>
      <c r="B343" s="23" t="s">
        <v>251</v>
      </c>
      <c r="C343" s="19" t="s">
        <v>265</v>
      </c>
      <c r="D343" s="19"/>
      <c r="E343" s="24">
        <f>SUM(E344,E347,E350,E356,E353)</f>
        <v>15700000</v>
      </c>
      <c r="F343" s="24">
        <f>SUM(F344,F347,F350,F356,F353)</f>
        <v>90384</v>
      </c>
      <c r="G343" s="25">
        <f t="shared" si="15"/>
        <v>15790384</v>
      </c>
    </row>
    <row r="344" spans="1:7" s="32" customFormat="1" ht="47.25">
      <c r="A344" s="26" t="s">
        <v>266</v>
      </c>
      <c r="B344" s="23" t="s">
        <v>251</v>
      </c>
      <c r="C344" s="19" t="s">
        <v>267</v>
      </c>
      <c r="D344" s="19"/>
      <c r="E344" s="24">
        <f>E345</f>
        <v>400000</v>
      </c>
      <c r="F344" s="24">
        <f>F345</f>
        <v>-400000</v>
      </c>
      <c r="G344" s="25">
        <f t="shared" si="15"/>
        <v>0</v>
      </c>
    </row>
    <row r="345" spans="1:7" s="32" customFormat="1" ht="15.75">
      <c r="A345" s="26" t="s">
        <v>26</v>
      </c>
      <c r="B345" s="23" t="s">
        <v>251</v>
      </c>
      <c r="C345" s="19" t="s">
        <v>267</v>
      </c>
      <c r="D345" s="19">
        <v>800</v>
      </c>
      <c r="E345" s="24">
        <f>E346</f>
        <v>400000</v>
      </c>
      <c r="F345" s="24">
        <f>F346</f>
        <v>-400000</v>
      </c>
      <c r="G345" s="25">
        <f t="shared" si="15"/>
        <v>0</v>
      </c>
    </row>
    <row r="346" spans="1:7" s="32" customFormat="1" ht="47.25">
      <c r="A346" s="26" t="s">
        <v>207</v>
      </c>
      <c r="B346" s="23" t="s">
        <v>251</v>
      </c>
      <c r="C346" s="19" t="s">
        <v>267</v>
      </c>
      <c r="D346" s="19">
        <v>810</v>
      </c>
      <c r="E346" s="24">
        <v>400000</v>
      </c>
      <c r="F346" s="29">
        <v>-400000</v>
      </c>
      <c r="G346" s="25">
        <f t="shared" si="15"/>
        <v>0</v>
      </c>
    </row>
    <row r="347" spans="1:7" s="32" customFormat="1" ht="47.25">
      <c r="A347" s="26" t="s">
        <v>268</v>
      </c>
      <c r="B347" s="23" t="s">
        <v>251</v>
      </c>
      <c r="C347" s="19" t="s">
        <v>269</v>
      </c>
      <c r="D347" s="19"/>
      <c r="E347" s="24">
        <f>E348</f>
        <v>1500000</v>
      </c>
      <c r="F347" s="24">
        <f>F348</f>
        <v>0</v>
      </c>
      <c r="G347" s="25">
        <f t="shared" si="15"/>
        <v>1500000</v>
      </c>
    </row>
    <row r="348" spans="1:7" s="32" customFormat="1" ht="15.75">
      <c r="A348" s="26" t="s">
        <v>26</v>
      </c>
      <c r="B348" s="23" t="s">
        <v>251</v>
      </c>
      <c r="C348" s="19" t="s">
        <v>269</v>
      </c>
      <c r="D348" s="19">
        <v>800</v>
      </c>
      <c r="E348" s="24">
        <f>E349</f>
        <v>1500000</v>
      </c>
      <c r="F348" s="24">
        <f>F349</f>
        <v>0</v>
      </c>
      <c r="G348" s="25">
        <f t="shared" si="15"/>
        <v>1500000</v>
      </c>
    </row>
    <row r="349" spans="1:7" s="32" customFormat="1" ht="47.25">
      <c r="A349" s="26" t="s">
        <v>207</v>
      </c>
      <c r="B349" s="23" t="s">
        <v>251</v>
      </c>
      <c r="C349" s="19" t="s">
        <v>269</v>
      </c>
      <c r="D349" s="19">
        <v>810</v>
      </c>
      <c r="E349" s="24">
        <v>1500000</v>
      </c>
      <c r="F349" s="29">
        <v>0</v>
      </c>
      <c r="G349" s="25">
        <f t="shared" si="15"/>
        <v>1500000</v>
      </c>
    </row>
    <row r="350" spans="1:7" s="32" customFormat="1" ht="31.5">
      <c r="A350" s="26" t="s">
        <v>270</v>
      </c>
      <c r="B350" s="23" t="s">
        <v>251</v>
      </c>
      <c r="C350" s="19" t="s">
        <v>271</v>
      </c>
      <c r="D350" s="19"/>
      <c r="E350" s="24">
        <f>E351</f>
        <v>10800000</v>
      </c>
      <c r="F350" s="24">
        <f>F351</f>
        <v>100000</v>
      </c>
      <c r="G350" s="25">
        <f t="shared" si="15"/>
        <v>10900000</v>
      </c>
    </row>
    <row r="351" spans="1:7" s="32" customFormat="1" ht="15.75">
      <c r="A351" s="26" t="s">
        <v>26</v>
      </c>
      <c r="B351" s="23" t="s">
        <v>251</v>
      </c>
      <c r="C351" s="19" t="s">
        <v>271</v>
      </c>
      <c r="D351" s="19">
        <v>800</v>
      </c>
      <c r="E351" s="24">
        <f>E352</f>
        <v>10800000</v>
      </c>
      <c r="F351" s="24">
        <f>F352</f>
        <v>100000</v>
      </c>
      <c r="G351" s="25">
        <f aca="true" t="shared" si="17" ref="G351:G414">SUM(E351:F351)</f>
        <v>10900000</v>
      </c>
    </row>
    <row r="352" spans="1:7" s="32" customFormat="1" ht="47.25">
      <c r="A352" s="26" t="s">
        <v>207</v>
      </c>
      <c r="B352" s="23" t="s">
        <v>251</v>
      </c>
      <c r="C352" s="19" t="s">
        <v>271</v>
      </c>
      <c r="D352" s="19">
        <v>810</v>
      </c>
      <c r="E352" s="24">
        <v>10800000</v>
      </c>
      <c r="F352" s="29">
        <v>100000</v>
      </c>
      <c r="G352" s="25">
        <f t="shared" si="17"/>
        <v>10900000</v>
      </c>
    </row>
    <row r="353" spans="1:7" s="32" customFormat="1" ht="189">
      <c r="A353" s="58" t="s">
        <v>272</v>
      </c>
      <c r="B353" s="23" t="s">
        <v>251</v>
      </c>
      <c r="C353" s="19" t="s">
        <v>273</v>
      </c>
      <c r="D353" s="19"/>
      <c r="E353" s="24">
        <f>E354</f>
        <v>0</v>
      </c>
      <c r="F353" s="29">
        <f>F354</f>
        <v>390384</v>
      </c>
      <c r="G353" s="25">
        <f t="shared" si="17"/>
        <v>390384</v>
      </c>
    </row>
    <row r="354" spans="1:7" s="32" customFormat="1" ht="31.5">
      <c r="A354" s="30" t="s">
        <v>103</v>
      </c>
      <c r="B354" s="23" t="s">
        <v>251</v>
      </c>
      <c r="C354" s="19" t="s">
        <v>273</v>
      </c>
      <c r="D354" s="19">
        <v>600</v>
      </c>
      <c r="E354" s="24">
        <f>E355</f>
        <v>0</v>
      </c>
      <c r="F354" s="29">
        <f>F355</f>
        <v>390384</v>
      </c>
      <c r="G354" s="25">
        <f t="shared" si="17"/>
        <v>390384</v>
      </c>
    </row>
    <row r="355" spans="1:7" s="32" customFormat="1" ht="31.5">
      <c r="A355" s="30" t="s">
        <v>113</v>
      </c>
      <c r="B355" s="23" t="s">
        <v>251</v>
      </c>
      <c r="C355" s="19" t="s">
        <v>273</v>
      </c>
      <c r="D355" s="19">
        <v>630</v>
      </c>
      <c r="E355" s="24">
        <v>0</v>
      </c>
      <c r="F355" s="29">
        <v>390384</v>
      </c>
      <c r="G355" s="25">
        <f t="shared" si="17"/>
        <v>390384</v>
      </c>
    </row>
    <row r="356" spans="1:7" s="32" customFormat="1" ht="141.75">
      <c r="A356" s="59" t="s">
        <v>274</v>
      </c>
      <c r="B356" s="23" t="s">
        <v>251</v>
      </c>
      <c r="C356" s="19" t="s">
        <v>275</v>
      </c>
      <c r="D356" s="19"/>
      <c r="E356" s="29">
        <f>E357</f>
        <v>3000000</v>
      </c>
      <c r="F356" s="29">
        <f>F357</f>
        <v>0</v>
      </c>
      <c r="G356" s="25">
        <f t="shared" si="17"/>
        <v>3000000</v>
      </c>
    </row>
    <row r="357" spans="1:7" s="32" customFormat="1" ht="31.5">
      <c r="A357" s="30" t="s">
        <v>103</v>
      </c>
      <c r="B357" s="23" t="s">
        <v>251</v>
      </c>
      <c r="C357" s="19" t="s">
        <v>275</v>
      </c>
      <c r="D357" s="19">
        <v>600</v>
      </c>
      <c r="E357" s="29">
        <f>E358</f>
        <v>3000000</v>
      </c>
      <c r="F357" s="29">
        <f>F358</f>
        <v>0</v>
      </c>
      <c r="G357" s="25">
        <f t="shared" si="17"/>
        <v>3000000</v>
      </c>
    </row>
    <row r="358" spans="1:7" s="32" customFormat="1" ht="31.5">
      <c r="A358" s="30" t="s">
        <v>113</v>
      </c>
      <c r="B358" s="23" t="s">
        <v>251</v>
      </c>
      <c r="C358" s="19" t="s">
        <v>275</v>
      </c>
      <c r="D358" s="19">
        <v>630</v>
      </c>
      <c r="E358" s="29">
        <v>3000000</v>
      </c>
      <c r="F358" s="29">
        <v>0</v>
      </c>
      <c r="G358" s="25">
        <f t="shared" si="17"/>
        <v>3000000</v>
      </c>
    </row>
    <row r="359" spans="1:7" s="32" customFormat="1" ht="47.25">
      <c r="A359" s="26" t="s">
        <v>116</v>
      </c>
      <c r="B359" s="23" t="s">
        <v>251</v>
      </c>
      <c r="C359" s="19" t="s">
        <v>117</v>
      </c>
      <c r="D359" s="19"/>
      <c r="E359" s="24">
        <f>E360</f>
        <v>437203</v>
      </c>
      <c r="F359" s="24">
        <f>F360</f>
        <v>10425134.67</v>
      </c>
      <c r="G359" s="25">
        <f t="shared" si="17"/>
        <v>10862337.67</v>
      </c>
    </row>
    <row r="360" spans="1:7" s="32" customFormat="1" ht="47.25">
      <c r="A360" s="26" t="s">
        <v>126</v>
      </c>
      <c r="B360" s="23" t="s">
        <v>251</v>
      </c>
      <c r="C360" s="19" t="s">
        <v>127</v>
      </c>
      <c r="D360" s="19"/>
      <c r="E360" s="24">
        <f>SUM(E361,E364,E367)</f>
        <v>437203</v>
      </c>
      <c r="F360" s="24">
        <f>SUM(F361,F364,F367)</f>
        <v>10425134.67</v>
      </c>
      <c r="G360" s="25">
        <f t="shared" si="17"/>
        <v>10862337.67</v>
      </c>
    </row>
    <row r="361" spans="1:7" s="13" customFormat="1" ht="94.5">
      <c r="A361" s="30" t="s">
        <v>276</v>
      </c>
      <c r="B361" s="23" t="s">
        <v>251</v>
      </c>
      <c r="C361" s="19" t="s">
        <v>277</v>
      </c>
      <c r="D361" s="19"/>
      <c r="E361" s="24">
        <f>E362</f>
        <v>88889</v>
      </c>
      <c r="F361" s="24">
        <f>F362</f>
        <v>0</v>
      </c>
      <c r="G361" s="25">
        <f t="shared" si="17"/>
        <v>88889</v>
      </c>
    </row>
    <row r="362" spans="1:7" s="13" customFormat="1" ht="31.5">
      <c r="A362" s="30" t="s">
        <v>22</v>
      </c>
      <c r="B362" s="23" t="s">
        <v>251</v>
      </c>
      <c r="C362" s="19" t="s">
        <v>277</v>
      </c>
      <c r="D362" s="19">
        <v>200</v>
      </c>
      <c r="E362" s="24">
        <f>E363</f>
        <v>88889</v>
      </c>
      <c r="F362" s="24">
        <f>F363</f>
        <v>0</v>
      </c>
      <c r="G362" s="25">
        <f t="shared" si="17"/>
        <v>88889</v>
      </c>
    </row>
    <row r="363" spans="1:7" s="13" customFormat="1" ht="31.5">
      <c r="A363" s="30" t="s">
        <v>24</v>
      </c>
      <c r="B363" s="23" t="s">
        <v>251</v>
      </c>
      <c r="C363" s="19" t="s">
        <v>277</v>
      </c>
      <c r="D363" s="19">
        <v>240</v>
      </c>
      <c r="E363" s="24">
        <f>80000+8889</f>
        <v>88889</v>
      </c>
      <c r="F363" s="29">
        <v>0</v>
      </c>
      <c r="G363" s="25">
        <f t="shared" si="17"/>
        <v>88889</v>
      </c>
    </row>
    <row r="364" spans="1:7" s="13" customFormat="1" ht="63">
      <c r="A364" s="30" t="s">
        <v>278</v>
      </c>
      <c r="B364" s="23" t="s">
        <v>251</v>
      </c>
      <c r="C364" s="19" t="s">
        <v>279</v>
      </c>
      <c r="D364" s="19"/>
      <c r="E364" s="24">
        <f>E365</f>
        <v>348314</v>
      </c>
      <c r="F364" s="24">
        <f>F365</f>
        <v>500000</v>
      </c>
      <c r="G364" s="25">
        <f t="shared" si="17"/>
        <v>848314</v>
      </c>
    </row>
    <row r="365" spans="1:7" s="13" customFormat="1" ht="31.5">
      <c r="A365" s="30" t="s">
        <v>22</v>
      </c>
      <c r="B365" s="23" t="s">
        <v>251</v>
      </c>
      <c r="C365" s="19" t="s">
        <v>279</v>
      </c>
      <c r="D365" s="19">
        <v>200</v>
      </c>
      <c r="E365" s="24">
        <f>E366</f>
        <v>348314</v>
      </c>
      <c r="F365" s="24">
        <f>F366</f>
        <v>500000</v>
      </c>
      <c r="G365" s="25">
        <f t="shared" si="17"/>
        <v>848314</v>
      </c>
    </row>
    <row r="366" spans="1:7" s="13" customFormat="1" ht="31.5">
      <c r="A366" s="30" t="s">
        <v>24</v>
      </c>
      <c r="B366" s="23" t="s">
        <v>251</v>
      </c>
      <c r="C366" s="19" t="s">
        <v>279</v>
      </c>
      <c r="D366" s="19">
        <v>240</v>
      </c>
      <c r="E366" s="24">
        <f>400000-42797-8889</f>
        <v>348314</v>
      </c>
      <c r="F366" s="24">
        <v>500000</v>
      </c>
      <c r="G366" s="25">
        <f t="shared" si="17"/>
        <v>848314</v>
      </c>
    </row>
    <row r="367" spans="1:7" s="13" customFormat="1" ht="63">
      <c r="A367" s="30" t="s">
        <v>280</v>
      </c>
      <c r="B367" s="23" t="s">
        <v>251</v>
      </c>
      <c r="C367" s="19" t="s">
        <v>281</v>
      </c>
      <c r="D367" s="19"/>
      <c r="E367" s="24">
        <f>E368</f>
        <v>0</v>
      </c>
      <c r="F367" s="29">
        <f>F368</f>
        <v>9925134.67</v>
      </c>
      <c r="G367" s="25">
        <f t="shared" si="17"/>
        <v>9925134.67</v>
      </c>
    </row>
    <row r="368" spans="1:7" s="13" customFormat="1" ht="31.5">
      <c r="A368" s="30" t="s">
        <v>22</v>
      </c>
      <c r="B368" s="23" t="s">
        <v>251</v>
      </c>
      <c r="C368" s="19" t="s">
        <v>281</v>
      </c>
      <c r="D368" s="19">
        <v>200</v>
      </c>
      <c r="E368" s="24">
        <f>E369</f>
        <v>0</v>
      </c>
      <c r="F368" s="29">
        <f>F369</f>
        <v>9925134.67</v>
      </c>
      <c r="G368" s="25">
        <f t="shared" si="17"/>
        <v>9925134.67</v>
      </c>
    </row>
    <row r="369" spans="1:7" s="13" customFormat="1" ht="31.5">
      <c r="A369" s="30" t="s">
        <v>24</v>
      </c>
      <c r="B369" s="23" t="s">
        <v>251</v>
      </c>
      <c r="C369" s="19" t="s">
        <v>281</v>
      </c>
      <c r="D369" s="19">
        <v>240</v>
      </c>
      <c r="E369" s="24">
        <v>0</v>
      </c>
      <c r="F369" s="29">
        <f>9925.67+9915209</f>
        <v>9925134.67</v>
      </c>
      <c r="G369" s="25">
        <f t="shared" si="17"/>
        <v>9925134.67</v>
      </c>
    </row>
    <row r="370" spans="1:7" s="13" customFormat="1" ht="15.75">
      <c r="A370" s="22" t="s">
        <v>12</v>
      </c>
      <c r="B370" s="23" t="s">
        <v>251</v>
      </c>
      <c r="C370" s="19" t="s">
        <v>13</v>
      </c>
      <c r="D370" s="19"/>
      <c r="E370" s="24">
        <f aca="true" t="shared" si="18" ref="E370:F373">E371</f>
        <v>28755</v>
      </c>
      <c r="F370" s="24">
        <f t="shared" si="18"/>
        <v>0</v>
      </c>
      <c r="G370" s="25">
        <f t="shared" si="17"/>
        <v>28755</v>
      </c>
    </row>
    <row r="371" spans="1:7" s="13" customFormat="1" ht="47.25">
      <c r="A371" s="26" t="s">
        <v>50</v>
      </c>
      <c r="B371" s="23" t="s">
        <v>251</v>
      </c>
      <c r="C371" s="19" t="s">
        <v>51</v>
      </c>
      <c r="D371" s="19"/>
      <c r="E371" s="24">
        <f t="shared" si="18"/>
        <v>28755</v>
      </c>
      <c r="F371" s="24">
        <f t="shared" si="18"/>
        <v>0</v>
      </c>
      <c r="G371" s="25">
        <f t="shared" si="17"/>
        <v>28755</v>
      </c>
    </row>
    <row r="372" spans="1:7" s="13" customFormat="1" ht="47.25">
      <c r="A372" s="26" t="s">
        <v>282</v>
      </c>
      <c r="B372" s="23" t="s">
        <v>251</v>
      </c>
      <c r="C372" s="19" t="s">
        <v>283</v>
      </c>
      <c r="D372" s="19"/>
      <c r="E372" s="24">
        <f t="shared" si="18"/>
        <v>28755</v>
      </c>
      <c r="F372" s="24">
        <f t="shared" si="18"/>
        <v>0</v>
      </c>
      <c r="G372" s="25">
        <f t="shared" si="17"/>
        <v>28755</v>
      </c>
    </row>
    <row r="373" spans="1:7" s="13" customFormat="1" ht="31.5">
      <c r="A373" s="30" t="s">
        <v>22</v>
      </c>
      <c r="B373" s="23" t="s">
        <v>251</v>
      </c>
      <c r="C373" s="19" t="s">
        <v>283</v>
      </c>
      <c r="D373" s="19">
        <v>200</v>
      </c>
      <c r="E373" s="24">
        <f t="shared" si="18"/>
        <v>28755</v>
      </c>
      <c r="F373" s="24">
        <f t="shared" si="18"/>
        <v>0</v>
      </c>
      <c r="G373" s="25">
        <f t="shared" si="17"/>
        <v>28755</v>
      </c>
    </row>
    <row r="374" spans="1:7" s="13" customFormat="1" ht="31.5">
      <c r="A374" s="30" t="s">
        <v>24</v>
      </c>
      <c r="B374" s="23" t="s">
        <v>251</v>
      </c>
      <c r="C374" s="19" t="s">
        <v>283</v>
      </c>
      <c r="D374" s="19">
        <v>240</v>
      </c>
      <c r="E374" s="24">
        <v>28755</v>
      </c>
      <c r="F374" s="29">
        <v>0</v>
      </c>
      <c r="G374" s="25">
        <f t="shared" si="17"/>
        <v>28755</v>
      </c>
    </row>
    <row r="375" spans="1:7" s="32" customFormat="1" ht="15.75">
      <c r="A375" s="14" t="s">
        <v>284</v>
      </c>
      <c r="B375" s="15" t="s">
        <v>285</v>
      </c>
      <c r="C375" s="44"/>
      <c r="D375" s="44"/>
      <c r="E375" s="50">
        <f>SUM(E376,E418,E460,E520)</f>
        <v>433691961.99</v>
      </c>
      <c r="F375" s="50">
        <f>SUM(F376,F418,F460,F520)</f>
        <v>501512144.42</v>
      </c>
      <c r="G375" s="16">
        <f t="shared" si="17"/>
        <v>935204106.4100001</v>
      </c>
    </row>
    <row r="376" spans="1:7" s="32" customFormat="1" ht="15.75">
      <c r="A376" s="17" t="s">
        <v>286</v>
      </c>
      <c r="B376" s="18" t="s">
        <v>287</v>
      </c>
      <c r="C376" s="44"/>
      <c r="D376" s="44"/>
      <c r="E376" s="20">
        <f>SUM(E377,E393,E400,E413)</f>
        <v>76800000</v>
      </c>
      <c r="F376" s="20">
        <f>SUM(F377,F393,F400,F413)</f>
        <v>116128280</v>
      </c>
      <c r="G376" s="21">
        <f t="shared" si="17"/>
        <v>192928280</v>
      </c>
    </row>
    <row r="377" spans="1:7" s="32" customFormat="1" ht="47.25">
      <c r="A377" s="26" t="s">
        <v>288</v>
      </c>
      <c r="B377" s="23" t="s">
        <v>287</v>
      </c>
      <c r="C377" s="19" t="s">
        <v>87</v>
      </c>
      <c r="D377" s="19"/>
      <c r="E377" s="24">
        <f>SUM(E378,E381,E384,E387,E390)</f>
        <v>59500000</v>
      </c>
      <c r="F377" s="24">
        <f>SUM(F378,F381,F384,F387,F390)</f>
        <v>950000</v>
      </c>
      <c r="G377" s="25">
        <f t="shared" si="17"/>
        <v>60450000</v>
      </c>
    </row>
    <row r="378" spans="1:7" s="32" customFormat="1" ht="15.75">
      <c r="A378" s="26" t="s">
        <v>289</v>
      </c>
      <c r="B378" s="23" t="s">
        <v>287</v>
      </c>
      <c r="C378" s="19" t="s">
        <v>290</v>
      </c>
      <c r="D378" s="19"/>
      <c r="E378" s="24">
        <f>E379</f>
        <v>300000</v>
      </c>
      <c r="F378" s="24">
        <f>F379</f>
        <v>650000</v>
      </c>
      <c r="G378" s="25">
        <f t="shared" si="17"/>
        <v>950000</v>
      </c>
    </row>
    <row r="379" spans="1:7" s="13" customFormat="1" ht="15.75">
      <c r="A379" s="30" t="s">
        <v>26</v>
      </c>
      <c r="B379" s="23" t="s">
        <v>287</v>
      </c>
      <c r="C379" s="19" t="s">
        <v>290</v>
      </c>
      <c r="D379" s="19">
        <v>800</v>
      </c>
      <c r="E379" s="24">
        <f>E380</f>
        <v>300000</v>
      </c>
      <c r="F379" s="24">
        <f>F380</f>
        <v>650000</v>
      </c>
      <c r="G379" s="25">
        <f t="shared" si="17"/>
        <v>950000</v>
      </c>
    </row>
    <row r="380" spans="1:7" s="32" customFormat="1" ht="47.25">
      <c r="A380" s="26" t="s">
        <v>207</v>
      </c>
      <c r="B380" s="23" t="s">
        <v>287</v>
      </c>
      <c r="C380" s="19" t="s">
        <v>290</v>
      </c>
      <c r="D380" s="19">
        <v>810</v>
      </c>
      <c r="E380" s="24">
        <v>300000</v>
      </c>
      <c r="F380" s="29">
        <v>650000</v>
      </c>
      <c r="G380" s="25">
        <f t="shared" si="17"/>
        <v>950000</v>
      </c>
    </row>
    <row r="381" spans="1:7" s="13" customFormat="1" ht="31.5">
      <c r="A381" s="26" t="s">
        <v>291</v>
      </c>
      <c r="B381" s="23" t="s">
        <v>287</v>
      </c>
      <c r="C381" s="19" t="s">
        <v>292</v>
      </c>
      <c r="D381" s="19"/>
      <c r="E381" s="24">
        <f>E382</f>
        <v>55000000</v>
      </c>
      <c r="F381" s="24">
        <f>F382</f>
        <v>0</v>
      </c>
      <c r="G381" s="25">
        <f t="shared" si="17"/>
        <v>55000000</v>
      </c>
    </row>
    <row r="382" spans="1:7" s="32" customFormat="1" ht="15.75">
      <c r="A382" s="26" t="s">
        <v>26</v>
      </c>
      <c r="B382" s="23" t="s">
        <v>287</v>
      </c>
      <c r="C382" s="19" t="s">
        <v>292</v>
      </c>
      <c r="D382" s="19">
        <v>800</v>
      </c>
      <c r="E382" s="24">
        <f>E383</f>
        <v>55000000</v>
      </c>
      <c r="F382" s="24">
        <f>F383</f>
        <v>0</v>
      </c>
      <c r="G382" s="25">
        <f t="shared" si="17"/>
        <v>55000000</v>
      </c>
    </row>
    <row r="383" spans="1:7" s="32" customFormat="1" ht="47.25">
      <c r="A383" s="26" t="s">
        <v>207</v>
      </c>
      <c r="B383" s="23" t="s">
        <v>287</v>
      </c>
      <c r="C383" s="19" t="s">
        <v>292</v>
      </c>
      <c r="D383" s="19">
        <v>810</v>
      </c>
      <c r="E383" s="24">
        <v>55000000</v>
      </c>
      <c r="F383" s="29">
        <v>0</v>
      </c>
      <c r="G383" s="25">
        <f t="shared" si="17"/>
        <v>55000000</v>
      </c>
    </row>
    <row r="384" spans="1:7" s="32" customFormat="1" ht="31.5">
      <c r="A384" s="26" t="s">
        <v>293</v>
      </c>
      <c r="B384" s="23" t="s">
        <v>287</v>
      </c>
      <c r="C384" s="19" t="s">
        <v>294</v>
      </c>
      <c r="D384" s="19"/>
      <c r="E384" s="24">
        <f>E385</f>
        <v>4000000</v>
      </c>
      <c r="F384" s="24">
        <f>F385</f>
        <v>0</v>
      </c>
      <c r="G384" s="25">
        <f t="shared" si="17"/>
        <v>4000000</v>
      </c>
    </row>
    <row r="385" spans="1:7" s="32" customFormat="1" ht="15.75">
      <c r="A385" s="26" t="s">
        <v>26</v>
      </c>
      <c r="B385" s="23" t="s">
        <v>287</v>
      </c>
      <c r="C385" s="19" t="s">
        <v>294</v>
      </c>
      <c r="D385" s="19">
        <v>800</v>
      </c>
      <c r="E385" s="24">
        <f>E386</f>
        <v>4000000</v>
      </c>
      <c r="F385" s="24">
        <f>F386</f>
        <v>0</v>
      </c>
      <c r="G385" s="25">
        <f t="shared" si="17"/>
        <v>4000000</v>
      </c>
    </row>
    <row r="386" spans="1:7" s="32" customFormat="1" ht="47.25">
      <c r="A386" s="26" t="s">
        <v>207</v>
      </c>
      <c r="B386" s="23" t="s">
        <v>287</v>
      </c>
      <c r="C386" s="19" t="s">
        <v>294</v>
      </c>
      <c r="D386" s="19">
        <v>810</v>
      </c>
      <c r="E386" s="24">
        <v>4000000</v>
      </c>
      <c r="F386" s="29">
        <v>0</v>
      </c>
      <c r="G386" s="25">
        <f t="shared" si="17"/>
        <v>4000000</v>
      </c>
    </row>
    <row r="387" spans="1:7" s="32" customFormat="1" ht="31.5">
      <c r="A387" s="26" t="s">
        <v>295</v>
      </c>
      <c r="B387" s="23" t="s">
        <v>287</v>
      </c>
      <c r="C387" s="19" t="s">
        <v>296</v>
      </c>
      <c r="D387" s="19"/>
      <c r="E387" s="24">
        <f>E388</f>
        <v>200000</v>
      </c>
      <c r="F387" s="24">
        <f>F388</f>
        <v>0</v>
      </c>
      <c r="G387" s="25">
        <f t="shared" si="17"/>
        <v>200000</v>
      </c>
    </row>
    <row r="388" spans="1:7" s="32" customFormat="1" ht="15.75">
      <c r="A388" s="26" t="s">
        <v>26</v>
      </c>
      <c r="B388" s="23" t="s">
        <v>287</v>
      </c>
      <c r="C388" s="19" t="s">
        <v>296</v>
      </c>
      <c r="D388" s="19">
        <v>800</v>
      </c>
      <c r="E388" s="24">
        <f>E389</f>
        <v>200000</v>
      </c>
      <c r="F388" s="24">
        <f>F389</f>
        <v>0</v>
      </c>
      <c r="G388" s="25">
        <f t="shared" si="17"/>
        <v>200000</v>
      </c>
    </row>
    <row r="389" spans="1:7" s="32" customFormat="1" ht="47.25">
      <c r="A389" s="26" t="s">
        <v>207</v>
      </c>
      <c r="B389" s="23" t="s">
        <v>287</v>
      </c>
      <c r="C389" s="19" t="s">
        <v>296</v>
      </c>
      <c r="D389" s="19">
        <v>810</v>
      </c>
      <c r="E389" s="24">
        <v>200000</v>
      </c>
      <c r="F389" s="29">
        <v>0</v>
      </c>
      <c r="G389" s="25">
        <f t="shared" si="17"/>
        <v>200000</v>
      </c>
    </row>
    <row r="390" spans="1:7" s="32" customFormat="1" ht="31.5">
      <c r="A390" s="26" t="s">
        <v>297</v>
      </c>
      <c r="B390" s="23" t="s">
        <v>287</v>
      </c>
      <c r="C390" s="19" t="s">
        <v>298</v>
      </c>
      <c r="D390" s="19"/>
      <c r="E390" s="24">
        <f>E391</f>
        <v>0</v>
      </c>
      <c r="F390" s="29">
        <f>F391</f>
        <v>300000</v>
      </c>
      <c r="G390" s="25">
        <f t="shared" si="17"/>
        <v>300000</v>
      </c>
    </row>
    <row r="391" spans="1:7" s="32" customFormat="1" ht="15.75">
      <c r="A391" s="26" t="s">
        <v>26</v>
      </c>
      <c r="B391" s="23" t="s">
        <v>287</v>
      </c>
      <c r="C391" s="19" t="s">
        <v>298</v>
      </c>
      <c r="D391" s="19">
        <v>800</v>
      </c>
      <c r="E391" s="24">
        <f>E392</f>
        <v>0</v>
      </c>
      <c r="F391" s="29">
        <f>F392</f>
        <v>300000</v>
      </c>
      <c r="G391" s="25">
        <f t="shared" si="17"/>
        <v>300000</v>
      </c>
    </row>
    <row r="392" spans="1:7" s="32" customFormat="1" ht="47.25">
      <c r="A392" s="26" t="s">
        <v>207</v>
      </c>
      <c r="B392" s="23" t="s">
        <v>287</v>
      </c>
      <c r="C392" s="19" t="s">
        <v>298</v>
      </c>
      <c r="D392" s="19">
        <v>810</v>
      </c>
      <c r="E392" s="24">
        <v>0</v>
      </c>
      <c r="F392" s="29">
        <v>300000</v>
      </c>
      <c r="G392" s="25">
        <f t="shared" si="17"/>
        <v>300000</v>
      </c>
    </row>
    <row r="393" spans="1:7" s="32" customFormat="1" ht="47.25">
      <c r="A393" s="26" t="s">
        <v>299</v>
      </c>
      <c r="B393" s="23" t="s">
        <v>287</v>
      </c>
      <c r="C393" s="19" t="s">
        <v>300</v>
      </c>
      <c r="D393" s="19"/>
      <c r="E393" s="24">
        <f>E394+E397</f>
        <v>2300000</v>
      </c>
      <c r="F393" s="24">
        <f>F394+F397</f>
        <v>-950000</v>
      </c>
      <c r="G393" s="25">
        <f t="shared" si="17"/>
        <v>1350000</v>
      </c>
    </row>
    <row r="394" spans="1:7" s="32" customFormat="1" ht="47.25">
      <c r="A394" s="26" t="s">
        <v>301</v>
      </c>
      <c r="B394" s="23" t="s">
        <v>287</v>
      </c>
      <c r="C394" s="19" t="s">
        <v>302</v>
      </c>
      <c r="D394" s="19"/>
      <c r="E394" s="24">
        <f>E395</f>
        <v>1300000</v>
      </c>
      <c r="F394" s="24">
        <f>F395</f>
        <v>-950000</v>
      </c>
      <c r="G394" s="25">
        <f t="shared" si="17"/>
        <v>350000</v>
      </c>
    </row>
    <row r="395" spans="1:7" s="32" customFormat="1" ht="15.75">
      <c r="A395" s="30" t="s">
        <v>26</v>
      </c>
      <c r="B395" s="23" t="s">
        <v>287</v>
      </c>
      <c r="C395" s="19" t="s">
        <v>302</v>
      </c>
      <c r="D395" s="19">
        <v>800</v>
      </c>
      <c r="E395" s="24">
        <f>E396</f>
        <v>1300000</v>
      </c>
      <c r="F395" s="24">
        <f>F396</f>
        <v>-950000</v>
      </c>
      <c r="G395" s="25">
        <f t="shared" si="17"/>
        <v>350000</v>
      </c>
    </row>
    <row r="396" spans="1:7" s="32" customFormat="1" ht="47.25">
      <c r="A396" s="26" t="s">
        <v>207</v>
      </c>
      <c r="B396" s="23" t="s">
        <v>287</v>
      </c>
      <c r="C396" s="19" t="s">
        <v>302</v>
      </c>
      <c r="D396" s="19">
        <v>810</v>
      </c>
      <c r="E396" s="29">
        <v>1300000</v>
      </c>
      <c r="F396" s="29">
        <f>-300000-650000</f>
        <v>-950000</v>
      </c>
      <c r="G396" s="25">
        <f t="shared" si="17"/>
        <v>350000</v>
      </c>
    </row>
    <row r="397" spans="1:7" s="32" customFormat="1" ht="15.75">
      <c r="A397" s="26" t="s">
        <v>303</v>
      </c>
      <c r="B397" s="23" t="s">
        <v>287</v>
      </c>
      <c r="C397" s="19" t="s">
        <v>304</v>
      </c>
      <c r="D397" s="19"/>
      <c r="E397" s="29">
        <f>E398</f>
        <v>1000000</v>
      </c>
      <c r="F397" s="29">
        <f>F398</f>
        <v>0</v>
      </c>
      <c r="G397" s="25">
        <f t="shared" si="17"/>
        <v>1000000</v>
      </c>
    </row>
    <row r="398" spans="1:7" s="32" customFormat="1" ht="15.75">
      <c r="A398" s="30" t="s">
        <v>26</v>
      </c>
      <c r="B398" s="23" t="s">
        <v>287</v>
      </c>
      <c r="C398" s="19" t="s">
        <v>304</v>
      </c>
      <c r="D398" s="19">
        <v>800</v>
      </c>
      <c r="E398" s="29">
        <f>E399</f>
        <v>1000000</v>
      </c>
      <c r="F398" s="29">
        <f>F399</f>
        <v>0</v>
      </c>
      <c r="G398" s="25">
        <f t="shared" si="17"/>
        <v>1000000</v>
      </c>
    </row>
    <row r="399" spans="1:7" s="32" customFormat="1" ht="47.25">
      <c r="A399" s="26" t="s">
        <v>207</v>
      </c>
      <c r="B399" s="23" t="s">
        <v>287</v>
      </c>
      <c r="C399" s="19" t="s">
        <v>304</v>
      </c>
      <c r="D399" s="19">
        <v>810</v>
      </c>
      <c r="E399" s="29">
        <v>1000000</v>
      </c>
      <c r="F399" s="29">
        <v>0</v>
      </c>
      <c r="G399" s="25">
        <f t="shared" si="17"/>
        <v>1000000</v>
      </c>
    </row>
    <row r="400" spans="1:7" s="32" customFormat="1" ht="47.25">
      <c r="A400" s="30" t="s">
        <v>305</v>
      </c>
      <c r="B400" s="23" t="s">
        <v>287</v>
      </c>
      <c r="C400" s="19" t="s">
        <v>306</v>
      </c>
      <c r="D400" s="19"/>
      <c r="E400" s="24">
        <f>E407+E404+E401+E410</f>
        <v>15000000</v>
      </c>
      <c r="F400" s="24">
        <f>F407+F404+F401+F410</f>
        <v>114332280</v>
      </c>
      <c r="G400" s="25">
        <f t="shared" si="17"/>
        <v>129332280</v>
      </c>
    </row>
    <row r="401" spans="1:7" s="32" customFormat="1" ht="31.5">
      <c r="A401" s="30" t="s">
        <v>307</v>
      </c>
      <c r="B401" s="23" t="s">
        <v>287</v>
      </c>
      <c r="C401" s="19" t="s">
        <v>308</v>
      </c>
      <c r="D401" s="19"/>
      <c r="E401" s="24">
        <f>E402</f>
        <v>0</v>
      </c>
      <c r="F401" s="24">
        <f>F402</f>
        <v>11639320</v>
      </c>
      <c r="G401" s="25">
        <f t="shared" si="17"/>
        <v>11639320</v>
      </c>
    </row>
    <row r="402" spans="1:7" s="32" customFormat="1" ht="31.5">
      <c r="A402" s="26" t="s">
        <v>236</v>
      </c>
      <c r="B402" s="23" t="s">
        <v>287</v>
      </c>
      <c r="C402" s="19" t="s">
        <v>308</v>
      </c>
      <c r="D402" s="19">
        <v>400</v>
      </c>
      <c r="E402" s="24">
        <f>E403</f>
        <v>0</v>
      </c>
      <c r="F402" s="24">
        <f>F403</f>
        <v>11639320</v>
      </c>
      <c r="G402" s="25">
        <f t="shared" si="17"/>
        <v>11639320</v>
      </c>
    </row>
    <row r="403" spans="1:7" s="32" customFormat="1" ht="15.75">
      <c r="A403" s="26" t="s">
        <v>237</v>
      </c>
      <c r="B403" s="23" t="s">
        <v>287</v>
      </c>
      <c r="C403" s="19" t="s">
        <v>308</v>
      </c>
      <c r="D403" s="19">
        <v>410</v>
      </c>
      <c r="E403" s="24">
        <v>0</v>
      </c>
      <c r="F403" s="24">
        <f>13414735.43-1775415.43</f>
        <v>11639320</v>
      </c>
      <c r="G403" s="25">
        <f t="shared" si="17"/>
        <v>11639320</v>
      </c>
    </row>
    <row r="404" spans="1:7" s="32" customFormat="1" ht="141.75">
      <c r="A404" s="30" t="s">
        <v>309</v>
      </c>
      <c r="B404" s="23" t="s">
        <v>287</v>
      </c>
      <c r="C404" s="19" t="s">
        <v>310</v>
      </c>
      <c r="D404" s="19"/>
      <c r="E404" s="24">
        <f>E405</f>
        <v>0</v>
      </c>
      <c r="F404" s="29">
        <f>F405</f>
        <v>103083582.94</v>
      </c>
      <c r="G404" s="25">
        <f t="shared" si="17"/>
        <v>103083582.94</v>
      </c>
    </row>
    <row r="405" spans="1:7" s="32" customFormat="1" ht="31.5">
      <c r="A405" s="26" t="s">
        <v>236</v>
      </c>
      <c r="B405" s="23" t="s">
        <v>287</v>
      </c>
      <c r="C405" s="19" t="s">
        <v>310</v>
      </c>
      <c r="D405" s="19">
        <v>400</v>
      </c>
      <c r="E405" s="24">
        <f>E406</f>
        <v>0</v>
      </c>
      <c r="F405" s="29">
        <f>F406</f>
        <v>103083582.94</v>
      </c>
      <c r="G405" s="25">
        <f t="shared" si="17"/>
        <v>103083582.94</v>
      </c>
    </row>
    <row r="406" spans="1:7" s="32" customFormat="1" ht="15.75">
      <c r="A406" s="26" t="s">
        <v>237</v>
      </c>
      <c r="B406" s="23" t="s">
        <v>287</v>
      </c>
      <c r="C406" s="19" t="s">
        <v>310</v>
      </c>
      <c r="D406" s="19">
        <v>410</v>
      </c>
      <c r="E406" s="24">
        <v>0</v>
      </c>
      <c r="F406" s="29">
        <v>103083582.94</v>
      </c>
      <c r="G406" s="25">
        <f t="shared" si="17"/>
        <v>103083582.94</v>
      </c>
    </row>
    <row r="407" spans="1:7" s="32" customFormat="1" ht="126">
      <c r="A407" s="30" t="s">
        <v>311</v>
      </c>
      <c r="B407" s="23" t="s">
        <v>287</v>
      </c>
      <c r="C407" s="19" t="s">
        <v>312</v>
      </c>
      <c r="D407" s="19"/>
      <c r="E407" s="24">
        <f>E408</f>
        <v>15000000</v>
      </c>
      <c r="F407" s="29">
        <f>F408</f>
        <v>-1567552.539999999</v>
      </c>
      <c r="G407" s="25">
        <f t="shared" si="17"/>
        <v>13432447.46</v>
      </c>
    </row>
    <row r="408" spans="1:7" s="32" customFormat="1" ht="31.5">
      <c r="A408" s="26" t="s">
        <v>236</v>
      </c>
      <c r="B408" s="23" t="s">
        <v>287</v>
      </c>
      <c r="C408" s="19" t="s">
        <v>312</v>
      </c>
      <c r="D408" s="19">
        <v>400</v>
      </c>
      <c r="E408" s="24">
        <f>E409</f>
        <v>15000000</v>
      </c>
      <c r="F408" s="29">
        <f>F409</f>
        <v>-1567552.539999999</v>
      </c>
      <c r="G408" s="25">
        <f t="shared" si="17"/>
        <v>13432447.46</v>
      </c>
    </row>
    <row r="409" spans="1:7" s="32" customFormat="1" ht="15.75">
      <c r="A409" s="26" t="s">
        <v>237</v>
      </c>
      <c r="B409" s="23" t="s">
        <v>287</v>
      </c>
      <c r="C409" s="19" t="s">
        <v>312</v>
      </c>
      <c r="D409" s="19">
        <v>410</v>
      </c>
      <c r="E409" s="24">
        <v>15000000</v>
      </c>
      <c r="F409" s="29">
        <f>53857609.67-15000000-40425162.21</f>
        <v>-1567552.539999999</v>
      </c>
      <c r="G409" s="25">
        <f t="shared" si="17"/>
        <v>13432447.46</v>
      </c>
    </row>
    <row r="410" spans="1:7" s="32" customFormat="1" ht="126">
      <c r="A410" s="58" t="s">
        <v>313</v>
      </c>
      <c r="B410" s="23" t="s">
        <v>287</v>
      </c>
      <c r="C410" s="19" t="s">
        <v>314</v>
      </c>
      <c r="D410" s="19"/>
      <c r="E410" s="24">
        <f>E411</f>
        <v>0</v>
      </c>
      <c r="F410" s="29">
        <f>F411</f>
        <v>1176929.6</v>
      </c>
      <c r="G410" s="25">
        <f t="shared" si="17"/>
        <v>1176929.6</v>
      </c>
    </row>
    <row r="411" spans="1:7" s="32" customFormat="1" ht="31.5">
      <c r="A411" s="26" t="s">
        <v>236</v>
      </c>
      <c r="B411" s="23" t="s">
        <v>287</v>
      </c>
      <c r="C411" s="19" t="s">
        <v>314</v>
      </c>
      <c r="D411" s="19">
        <v>400</v>
      </c>
      <c r="E411" s="24">
        <f>E412</f>
        <v>0</v>
      </c>
      <c r="F411" s="29">
        <f>F412</f>
        <v>1176929.6</v>
      </c>
      <c r="G411" s="25">
        <f t="shared" si="17"/>
        <v>1176929.6</v>
      </c>
    </row>
    <row r="412" spans="1:7" s="32" customFormat="1" ht="15.75">
      <c r="A412" s="26" t="s">
        <v>237</v>
      </c>
      <c r="B412" s="23" t="s">
        <v>287</v>
      </c>
      <c r="C412" s="19" t="s">
        <v>314</v>
      </c>
      <c r="D412" s="19">
        <v>410</v>
      </c>
      <c r="E412" s="24">
        <v>0</v>
      </c>
      <c r="F412" s="29">
        <f>1585264.57-408334.97</f>
        <v>1176929.6</v>
      </c>
      <c r="G412" s="25">
        <f t="shared" si="17"/>
        <v>1176929.6</v>
      </c>
    </row>
    <row r="413" spans="1:7" s="32" customFormat="1" ht="15.75">
      <c r="A413" s="26" t="s">
        <v>12</v>
      </c>
      <c r="B413" s="23" t="s">
        <v>287</v>
      </c>
      <c r="C413" s="19" t="s">
        <v>13</v>
      </c>
      <c r="D413" s="19"/>
      <c r="E413" s="24">
        <f aca="true" t="shared" si="19" ref="E413:F416">E414</f>
        <v>0</v>
      </c>
      <c r="F413" s="24">
        <f t="shared" si="19"/>
        <v>1796000</v>
      </c>
      <c r="G413" s="25">
        <f t="shared" si="17"/>
        <v>1796000</v>
      </c>
    </row>
    <row r="414" spans="1:7" s="32" customFormat="1" ht="31.5">
      <c r="A414" s="26" t="s">
        <v>67</v>
      </c>
      <c r="B414" s="23" t="s">
        <v>287</v>
      </c>
      <c r="C414" s="19" t="s">
        <v>68</v>
      </c>
      <c r="D414" s="19"/>
      <c r="E414" s="24">
        <f t="shared" si="19"/>
        <v>0</v>
      </c>
      <c r="F414" s="24">
        <f t="shared" si="19"/>
        <v>1796000</v>
      </c>
      <c r="G414" s="25">
        <f t="shared" si="17"/>
        <v>1796000</v>
      </c>
    </row>
    <row r="415" spans="1:7" s="32" customFormat="1" ht="47.25">
      <c r="A415" s="26" t="s">
        <v>315</v>
      </c>
      <c r="B415" s="23" t="s">
        <v>287</v>
      </c>
      <c r="C415" s="19" t="s">
        <v>316</v>
      </c>
      <c r="D415" s="19"/>
      <c r="E415" s="24">
        <f t="shared" si="19"/>
        <v>0</v>
      </c>
      <c r="F415" s="24">
        <f t="shared" si="19"/>
        <v>1796000</v>
      </c>
      <c r="G415" s="25">
        <f aca="true" t="shared" si="20" ref="G415:G478">SUM(E415:F415)</f>
        <v>1796000</v>
      </c>
    </row>
    <row r="416" spans="1:7" s="32" customFormat="1" ht="15.75">
      <c r="A416" s="26" t="s">
        <v>26</v>
      </c>
      <c r="B416" s="23" t="s">
        <v>287</v>
      </c>
      <c r="C416" s="19" t="s">
        <v>316</v>
      </c>
      <c r="D416" s="19">
        <v>800</v>
      </c>
      <c r="E416" s="24">
        <f t="shared" si="19"/>
        <v>0</v>
      </c>
      <c r="F416" s="24">
        <f t="shared" si="19"/>
        <v>1796000</v>
      </c>
      <c r="G416" s="25">
        <f t="shared" si="20"/>
        <v>1796000</v>
      </c>
    </row>
    <row r="417" spans="1:7" s="32" customFormat="1" ht="47.25">
      <c r="A417" s="26" t="s">
        <v>207</v>
      </c>
      <c r="B417" s="23" t="s">
        <v>287</v>
      </c>
      <c r="C417" s="19" t="s">
        <v>316</v>
      </c>
      <c r="D417" s="19">
        <v>810</v>
      </c>
      <c r="E417" s="24">
        <v>0</v>
      </c>
      <c r="F417" s="29">
        <v>1796000</v>
      </c>
      <c r="G417" s="25">
        <f t="shared" si="20"/>
        <v>1796000</v>
      </c>
    </row>
    <row r="418" spans="1:7" s="32" customFormat="1" ht="15.75">
      <c r="A418" s="17" t="s">
        <v>317</v>
      </c>
      <c r="B418" s="18" t="s">
        <v>318</v>
      </c>
      <c r="C418" s="44"/>
      <c r="D418" s="44"/>
      <c r="E418" s="20">
        <f>SUM(E426,E419,E455)</f>
        <v>93780000</v>
      </c>
      <c r="F418" s="20">
        <f>SUM(F426,F419,F455)</f>
        <v>345755527.25</v>
      </c>
      <c r="G418" s="21">
        <f t="shared" si="20"/>
        <v>439535527.25</v>
      </c>
    </row>
    <row r="419" spans="1:7" s="32" customFormat="1" ht="47.25">
      <c r="A419" s="26" t="s">
        <v>299</v>
      </c>
      <c r="B419" s="23" t="s">
        <v>318</v>
      </c>
      <c r="C419" s="19" t="s">
        <v>300</v>
      </c>
      <c r="D419" s="19"/>
      <c r="E419" s="24">
        <f>SUM(E423,E420)</f>
        <v>14000000</v>
      </c>
      <c r="F419" s="24">
        <f>SUM(F423,F420)</f>
        <v>-3237409.49</v>
      </c>
      <c r="G419" s="25">
        <f t="shared" si="20"/>
        <v>10762590.51</v>
      </c>
    </row>
    <row r="420" spans="1:7" s="32" customFormat="1" ht="78.75">
      <c r="A420" s="26" t="s">
        <v>319</v>
      </c>
      <c r="B420" s="23" t="s">
        <v>318</v>
      </c>
      <c r="C420" s="19" t="s">
        <v>320</v>
      </c>
      <c r="D420" s="19"/>
      <c r="E420" s="24">
        <f>E421</f>
        <v>12000000</v>
      </c>
      <c r="F420" s="24">
        <f>F421</f>
        <v>-1337409.49</v>
      </c>
      <c r="G420" s="25">
        <f t="shared" si="20"/>
        <v>10662590.51</v>
      </c>
    </row>
    <row r="421" spans="1:7" s="32" customFormat="1" ht="31.5">
      <c r="A421" s="30" t="s">
        <v>22</v>
      </c>
      <c r="B421" s="23" t="s">
        <v>318</v>
      </c>
      <c r="C421" s="19" t="s">
        <v>320</v>
      </c>
      <c r="D421" s="19">
        <v>200</v>
      </c>
      <c r="E421" s="24">
        <f>E422</f>
        <v>12000000</v>
      </c>
      <c r="F421" s="24">
        <f>F422</f>
        <v>-1337409.49</v>
      </c>
      <c r="G421" s="25">
        <f t="shared" si="20"/>
        <v>10662590.51</v>
      </c>
    </row>
    <row r="422" spans="1:7" s="32" customFormat="1" ht="31.5">
      <c r="A422" s="30" t="s">
        <v>24</v>
      </c>
      <c r="B422" s="23" t="s">
        <v>318</v>
      </c>
      <c r="C422" s="19" t="s">
        <v>320</v>
      </c>
      <c r="D422" s="19">
        <v>240</v>
      </c>
      <c r="E422" s="24">
        <f>2000000+10000000</f>
        <v>12000000</v>
      </c>
      <c r="F422" s="29">
        <v>-1337409.49</v>
      </c>
      <c r="G422" s="25">
        <f t="shared" si="20"/>
        <v>10662590.51</v>
      </c>
    </row>
    <row r="423" spans="1:7" s="32" customFormat="1" ht="15.75">
      <c r="A423" s="26" t="s">
        <v>321</v>
      </c>
      <c r="B423" s="23" t="s">
        <v>318</v>
      </c>
      <c r="C423" s="19" t="s">
        <v>322</v>
      </c>
      <c r="D423" s="19"/>
      <c r="E423" s="24">
        <f>E424</f>
        <v>2000000</v>
      </c>
      <c r="F423" s="24">
        <f>F424</f>
        <v>-1900000</v>
      </c>
      <c r="G423" s="25">
        <f t="shared" si="20"/>
        <v>100000</v>
      </c>
    </row>
    <row r="424" spans="1:7" s="32" customFormat="1" ht="31.5">
      <c r="A424" s="26" t="s">
        <v>236</v>
      </c>
      <c r="B424" s="23" t="s">
        <v>318</v>
      </c>
      <c r="C424" s="19" t="s">
        <v>322</v>
      </c>
      <c r="D424" s="19">
        <v>400</v>
      </c>
      <c r="E424" s="24">
        <f>E425</f>
        <v>2000000</v>
      </c>
      <c r="F424" s="24">
        <f>F425</f>
        <v>-1900000</v>
      </c>
      <c r="G424" s="25">
        <f t="shared" si="20"/>
        <v>100000</v>
      </c>
    </row>
    <row r="425" spans="1:7" s="32" customFormat="1" ht="110.25">
      <c r="A425" s="26" t="s">
        <v>323</v>
      </c>
      <c r="B425" s="23" t="s">
        <v>318</v>
      </c>
      <c r="C425" s="19" t="s">
        <v>322</v>
      </c>
      <c r="D425" s="19">
        <v>460</v>
      </c>
      <c r="E425" s="24">
        <v>2000000</v>
      </c>
      <c r="F425" s="29">
        <v>-1900000</v>
      </c>
      <c r="G425" s="25">
        <f t="shared" si="20"/>
        <v>100000</v>
      </c>
    </row>
    <row r="426" spans="1:7" s="32" customFormat="1" ht="31.5">
      <c r="A426" s="26" t="s">
        <v>99</v>
      </c>
      <c r="B426" s="23" t="s">
        <v>318</v>
      </c>
      <c r="C426" s="19" t="s">
        <v>324</v>
      </c>
      <c r="D426" s="19"/>
      <c r="E426" s="24">
        <f>SUM(E427,E436,E439,E442,E445,E449,E452,E430,E433)</f>
        <v>59780000</v>
      </c>
      <c r="F426" s="24">
        <f>SUM(F427,F436,F439,F442,F445,F449,F452,F430,F433)</f>
        <v>348992936.74</v>
      </c>
      <c r="G426" s="25">
        <f t="shared" si="20"/>
        <v>408772936.74</v>
      </c>
    </row>
    <row r="427" spans="1:7" s="32" customFormat="1" ht="47.25">
      <c r="A427" s="26" t="s">
        <v>325</v>
      </c>
      <c r="B427" s="23" t="s">
        <v>318</v>
      </c>
      <c r="C427" s="19" t="s">
        <v>326</v>
      </c>
      <c r="D427" s="19"/>
      <c r="E427" s="24">
        <f>E428</f>
        <v>1500000</v>
      </c>
      <c r="F427" s="24">
        <f>F428</f>
        <v>-598164</v>
      </c>
      <c r="G427" s="25">
        <f t="shared" si="20"/>
        <v>901836</v>
      </c>
    </row>
    <row r="428" spans="1:7" s="32" customFormat="1" ht="31.5">
      <c r="A428" s="26" t="s">
        <v>236</v>
      </c>
      <c r="B428" s="23" t="s">
        <v>318</v>
      </c>
      <c r="C428" s="19" t="s">
        <v>326</v>
      </c>
      <c r="D428" s="19">
        <v>400</v>
      </c>
      <c r="E428" s="24">
        <f>E429</f>
        <v>1500000</v>
      </c>
      <c r="F428" s="24">
        <f>F429</f>
        <v>-598164</v>
      </c>
      <c r="G428" s="25">
        <f t="shared" si="20"/>
        <v>901836</v>
      </c>
    </row>
    <row r="429" spans="1:7" s="32" customFormat="1" ht="15.75">
      <c r="A429" s="26" t="s">
        <v>237</v>
      </c>
      <c r="B429" s="23" t="s">
        <v>318</v>
      </c>
      <c r="C429" s="19" t="s">
        <v>326</v>
      </c>
      <c r="D429" s="19">
        <v>410</v>
      </c>
      <c r="E429" s="24">
        <v>1500000</v>
      </c>
      <c r="F429" s="29">
        <v>-598164</v>
      </c>
      <c r="G429" s="25">
        <f t="shared" si="20"/>
        <v>901836</v>
      </c>
    </row>
    <row r="430" spans="1:7" s="32" customFormat="1" ht="31.5">
      <c r="A430" s="26" t="s">
        <v>327</v>
      </c>
      <c r="B430" s="23" t="s">
        <v>318</v>
      </c>
      <c r="C430" s="19" t="s">
        <v>328</v>
      </c>
      <c r="D430" s="60"/>
      <c r="E430" s="24">
        <f>E431</f>
        <v>0</v>
      </c>
      <c r="F430" s="24">
        <f>F431</f>
        <v>2267400</v>
      </c>
      <c r="G430" s="25">
        <f t="shared" si="20"/>
        <v>2267400</v>
      </c>
    </row>
    <row r="431" spans="1:7" s="32" customFormat="1" ht="31.5">
      <c r="A431" s="26" t="s">
        <v>236</v>
      </c>
      <c r="B431" s="23" t="s">
        <v>318</v>
      </c>
      <c r="C431" s="19" t="s">
        <v>328</v>
      </c>
      <c r="D431" s="60">
        <v>400</v>
      </c>
      <c r="E431" s="24">
        <f>E432</f>
        <v>0</v>
      </c>
      <c r="F431" s="24">
        <f>F432</f>
        <v>2267400</v>
      </c>
      <c r="G431" s="25">
        <f t="shared" si="20"/>
        <v>2267400</v>
      </c>
    </row>
    <row r="432" spans="1:7" s="32" customFormat="1" ht="15.75">
      <c r="A432" s="26" t="s">
        <v>237</v>
      </c>
      <c r="B432" s="23" t="s">
        <v>318</v>
      </c>
      <c r="C432" s="19" t="s">
        <v>328</v>
      </c>
      <c r="D432" s="60">
        <v>410</v>
      </c>
      <c r="E432" s="24"/>
      <c r="F432" s="29">
        <f>2178000+89400</f>
        <v>2267400</v>
      </c>
      <c r="G432" s="25">
        <f t="shared" si="20"/>
        <v>2267400</v>
      </c>
    </row>
    <row r="433" spans="1:7" s="32" customFormat="1" ht="31.5">
      <c r="A433" s="26" t="s">
        <v>329</v>
      </c>
      <c r="B433" s="23" t="s">
        <v>318</v>
      </c>
      <c r="C433" s="19" t="s">
        <v>330</v>
      </c>
      <c r="D433" s="60"/>
      <c r="E433" s="24">
        <f>E434</f>
        <v>0</v>
      </c>
      <c r="F433" s="24">
        <f>F434</f>
        <v>1505227.26</v>
      </c>
      <c r="G433" s="25">
        <f t="shared" si="20"/>
        <v>1505227.26</v>
      </c>
    </row>
    <row r="434" spans="1:7" s="32" customFormat="1" ht="31.5">
      <c r="A434" s="26" t="s">
        <v>236</v>
      </c>
      <c r="B434" s="23" t="s">
        <v>318</v>
      </c>
      <c r="C434" s="19" t="s">
        <v>330</v>
      </c>
      <c r="D434" s="60">
        <v>400</v>
      </c>
      <c r="E434" s="24">
        <f>E435</f>
        <v>0</v>
      </c>
      <c r="F434" s="24">
        <f>F435</f>
        <v>1505227.26</v>
      </c>
      <c r="G434" s="25">
        <f t="shared" si="20"/>
        <v>1505227.26</v>
      </c>
    </row>
    <row r="435" spans="1:7" s="32" customFormat="1" ht="15.75">
      <c r="A435" s="26" t="s">
        <v>237</v>
      </c>
      <c r="B435" s="23" t="s">
        <v>318</v>
      </c>
      <c r="C435" s="19" t="s">
        <v>330</v>
      </c>
      <c r="D435" s="60">
        <v>410</v>
      </c>
      <c r="E435" s="24">
        <v>0</v>
      </c>
      <c r="F435" s="24">
        <v>1505227.26</v>
      </c>
      <c r="G435" s="25">
        <f t="shared" si="20"/>
        <v>1505227.26</v>
      </c>
    </row>
    <row r="436" spans="1:7" s="32" customFormat="1" ht="31.5">
      <c r="A436" s="26" t="s">
        <v>331</v>
      </c>
      <c r="B436" s="23" t="s">
        <v>318</v>
      </c>
      <c r="C436" s="19" t="s">
        <v>332</v>
      </c>
      <c r="D436" s="60"/>
      <c r="E436" s="24">
        <f>E437</f>
        <v>2480000</v>
      </c>
      <c r="F436" s="24">
        <f>F437</f>
        <v>-2388947.89</v>
      </c>
      <c r="G436" s="25">
        <f t="shared" si="20"/>
        <v>91052.10999999987</v>
      </c>
    </row>
    <row r="437" spans="1:7" s="32" customFormat="1" ht="31.5">
      <c r="A437" s="26" t="s">
        <v>236</v>
      </c>
      <c r="B437" s="23" t="s">
        <v>318</v>
      </c>
      <c r="C437" s="19" t="s">
        <v>332</v>
      </c>
      <c r="D437" s="60">
        <v>400</v>
      </c>
      <c r="E437" s="24">
        <f>E438</f>
        <v>2480000</v>
      </c>
      <c r="F437" s="24">
        <f>F438</f>
        <v>-2388947.89</v>
      </c>
      <c r="G437" s="25">
        <f t="shared" si="20"/>
        <v>91052.10999999987</v>
      </c>
    </row>
    <row r="438" spans="1:7" s="32" customFormat="1" ht="15.75">
      <c r="A438" s="26" t="s">
        <v>237</v>
      </c>
      <c r="B438" s="23" t="s">
        <v>318</v>
      </c>
      <c r="C438" s="19" t="s">
        <v>332</v>
      </c>
      <c r="D438" s="60">
        <v>410</v>
      </c>
      <c r="E438" s="24">
        <v>2480000</v>
      </c>
      <c r="F438" s="29">
        <f>-2480000+91052.11</f>
        <v>-2388947.89</v>
      </c>
      <c r="G438" s="25">
        <f t="shared" si="20"/>
        <v>91052.10999999987</v>
      </c>
    </row>
    <row r="439" spans="1:7" s="32" customFormat="1" ht="47.25">
      <c r="A439" s="26" t="s">
        <v>333</v>
      </c>
      <c r="B439" s="23" t="s">
        <v>318</v>
      </c>
      <c r="C439" s="19" t="s">
        <v>334</v>
      </c>
      <c r="D439" s="60"/>
      <c r="E439" s="24">
        <f>E440</f>
        <v>0</v>
      </c>
      <c r="F439" s="24">
        <f>F440</f>
        <v>7322653</v>
      </c>
      <c r="G439" s="25">
        <f t="shared" si="20"/>
        <v>7322653</v>
      </c>
    </row>
    <row r="440" spans="1:7" s="32" customFormat="1" ht="31.5">
      <c r="A440" s="26" t="s">
        <v>236</v>
      </c>
      <c r="B440" s="23" t="s">
        <v>318</v>
      </c>
      <c r="C440" s="19" t="s">
        <v>334</v>
      </c>
      <c r="D440" s="60">
        <v>400</v>
      </c>
      <c r="E440" s="24">
        <f>E441</f>
        <v>0</v>
      </c>
      <c r="F440" s="24">
        <f>F441</f>
        <v>7322653</v>
      </c>
      <c r="G440" s="25">
        <f t="shared" si="20"/>
        <v>7322653</v>
      </c>
    </row>
    <row r="441" spans="1:7" s="32" customFormat="1" ht="15.75">
      <c r="A441" s="26" t="s">
        <v>237</v>
      </c>
      <c r="B441" s="23" t="s">
        <v>318</v>
      </c>
      <c r="C441" s="19" t="s">
        <v>334</v>
      </c>
      <c r="D441" s="60">
        <v>410</v>
      </c>
      <c r="E441" s="24"/>
      <c r="F441" s="29">
        <v>7322653</v>
      </c>
      <c r="G441" s="25">
        <f t="shared" si="20"/>
        <v>7322653</v>
      </c>
    </row>
    <row r="442" spans="1:7" s="32" customFormat="1" ht="63">
      <c r="A442" s="26" t="s">
        <v>335</v>
      </c>
      <c r="B442" s="23" t="s">
        <v>318</v>
      </c>
      <c r="C442" s="19" t="s">
        <v>336</v>
      </c>
      <c r="D442" s="19"/>
      <c r="E442" s="24">
        <f>E443</f>
        <v>55800000</v>
      </c>
      <c r="F442" s="24">
        <f>F443</f>
        <v>-55800000</v>
      </c>
      <c r="G442" s="25">
        <f t="shared" si="20"/>
        <v>0</v>
      </c>
    </row>
    <row r="443" spans="1:7" s="32" customFormat="1" ht="31.5">
      <c r="A443" s="26" t="s">
        <v>236</v>
      </c>
      <c r="B443" s="23" t="s">
        <v>318</v>
      </c>
      <c r="C443" s="19" t="s">
        <v>336</v>
      </c>
      <c r="D443" s="19">
        <v>400</v>
      </c>
      <c r="E443" s="24">
        <f>E444</f>
        <v>55800000</v>
      </c>
      <c r="F443" s="24">
        <f>F444</f>
        <v>-55800000</v>
      </c>
      <c r="G443" s="25">
        <f t="shared" si="20"/>
        <v>0</v>
      </c>
    </row>
    <row r="444" spans="1:7" s="32" customFormat="1" ht="15.75">
      <c r="A444" s="26" t="s">
        <v>237</v>
      </c>
      <c r="B444" s="23" t="s">
        <v>318</v>
      </c>
      <c r="C444" s="19" t="s">
        <v>336</v>
      </c>
      <c r="D444" s="19">
        <v>410</v>
      </c>
      <c r="E444" s="24">
        <f>55242000+558000</f>
        <v>55800000</v>
      </c>
      <c r="F444" s="29">
        <f>-558000-55242000</f>
        <v>-55800000</v>
      </c>
      <c r="G444" s="25">
        <f t="shared" si="20"/>
        <v>0</v>
      </c>
    </row>
    <row r="445" spans="1:7" s="32" customFormat="1" ht="63">
      <c r="A445" s="26" t="s">
        <v>337</v>
      </c>
      <c r="B445" s="23" t="s">
        <v>318</v>
      </c>
      <c r="C445" s="19" t="s">
        <v>338</v>
      </c>
      <c r="D445" s="19"/>
      <c r="E445" s="24">
        <f>E446</f>
        <v>0</v>
      </c>
      <c r="F445" s="29">
        <f>F446</f>
        <v>233141508.37</v>
      </c>
      <c r="G445" s="25">
        <f t="shared" si="20"/>
        <v>233141508.37</v>
      </c>
    </row>
    <row r="446" spans="1:7" s="32" customFormat="1" ht="31.5">
      <c r="A446" s="26" t="s">
        <v>236</v>
      </c>
      <c r="B446" s="23" t="s">
        <v>318</v>
      </c>
      <c r="C446" s="19" t="s">
        <v>338</v>
      </c>
      <c r="D446" s="19">
        <v>400</v>
      </c>
      <c r="E446" s="24">
        <f>SUM(E447:E448)</f>
        <v>0</v>
      </c>
      <c r="F446" s="24">
        <f>SUM(F447:F448)</f>
        <v>233141508.37</v>
      </c>
      <c r="G446" s="25">
        <f t="shared" si="20"/>
        <v>233141508.37</v>
      </c>
    </row>
    <row r="447" spans="1:7" s="32" customFormat="1" ht="15.75">
      <c r="A447" s="26" t="s">
        <v>237</v>
      </c>
      <c r="B447" s="23" t="s">
        <v>318</v>
      </c>
      <c r="C447" s="19" t="s">
        <v>338</v>
      </c>
      <c r="D447" s="19">
        <v>410</v>
      </c>
      <c r="E447" s="24">
        <v>0</v>
      </c>
      <c r="F447" s="29">
        <f>230810093.93+2331414.44-170292066.92</f>
        <v>62849441.45000002</v>
      </c>
      <c r="G447" s="25">
        <f t="shared" si="20"/>
        <v>62849441.45000002</v>
      </c>
    </row>
    <row r="448" spans="1:7" s="32" customFormat="1" ht="110.25">
      <c r="A448" s="26" t="s">
        <v>323</v>
      </c>
      <c r="B448" s="23" t="s">
        <v>318</v>
      </c>
      <c r="C448" s="19" t="s">
        <v>338</v>
      </c>
      <c r="D448" s="19">
        <v>460</v>
      </c>
      <c r="E448" s="24">
        <v>0</v>
      </c>
      <c r="F448" s="29">
        <v>170292066.92</v>
      </c>
      <c r="G448" s="25">
        <f t="shared" si="20"/>
        <v>170292066.92</v>
      </c>
    </row>
    <row r="449" spans="1:7" s="32" customFormat="1" ht="63">
      <c r="A449" s="26" t="s">
        <v>339</v>
      </c>
      <c r="B449" s="23" t="s">
        <v>318</v>
      </c>
      <c r="C449" s="19" t="s">
        <v>340</v>
      </c>
      <c r="D449" s="19"/>
      <c r="E449" s="24">
        <f>E450</f>
        <v>0</v>
      </c>
      <c r="F449" s="29">
        <f>F450</f>
        <v>57075260</v>
      </c>
      <c r="G449" s="25">
        <f t="shared" si="20"/>
        <v>57075260</v>
      </c>
    </row>
    <row r="450" spans="1:7" s="32" customFormat="1" ht="31.5">
      <c r="A450" s="26" t="s">
        <v>236</v>
      </c>
      <c r="B450" s="23" t="s">
        <v>318</v>
      </c>
      <c r="C450" s="19" t="s">
        <v>340</v>
      </c>
      <c r="D450" s="19">
        <v>400</v>
      </c>
      <c r="E450" s="24">
        <f>E451</f>
        <v>0</v>
      </c>
      <c r="F450" s="29">
        <f>F451</f>
        <v>57075260</v>
      </c>
      <c r="G450" s="25">
        <f t="shared" si="20"/>
        <v>57075260</v>
      </c>
    </row>
    <row r="451" spans="1:7" s="32" customFormat="1" ht="15.75">
      <c r="A451" s="26" t="s">
        <v>237</v>
      </c>
      <c r="B451" s="23" t="s">
        <v>318</v>
      </c>
      <c r="C451" s="19" t="s">
        <v>340</v>
      </c>
      <c r="D451" s="19">
        <v>410</v>
      </c>
      <c r="E451" s="24">
        <v>0</v>
      </c>
      <c r="F451" s="29">
        <f>570752.45+56504507.55</f>
        <v>57075260</v>
      </c>
      <c r="G451" s="25">
        <f t="shared" si="20"/>
        <v>57075260</v>
      </c>
    </row>
    <row r="452" spans="1:7" s="32" customFormat="1" ht="78.75">
      <c r="A452" s="26" t="s">
        <v>341</v>
      </c>
      <c r="B452" s="23" t="s">
        <v>318</v>
      </c>
      <c r="C452" s="19" t="s">
        <v>342</v>
      </c>
      <c r="D452" s="19"/>
      <c r="E452" s="24">
        <f>E453</f>
        <v>0</v>
      </c>
      <c r="F452" s="29">
        <f>F453</f>
        <v>106468000</v>
      </c>
      <c r="G452" s="25">
        <f t="shared" si="20"/>
        <v>106468000</v>
      </c>
    </row>
    <row r="453" spans="1:7" s="32" customFormat="1" ht="31.5">
      <c r="A453" s="26" t="s">
        <v>236</v>
      </c>
      <c r="B453" s="23" t="s">
        <v>318</v>
      </c>
      <c r="C453" s="19" t="s">
        <v>342</v>
      </c>
      <c r="D453" s="19">
        <v>400</v>
      </c>
      <c r="E453" s="24">
        <f>E454</f>
        <v>0</v>
      </c>
      <c r="F453" s="29">
        <f>F454</f>
        <v>106468000</v>
      </c>
      <c r="G453" s="25">
        <f t="shared" si="20"/>
        <v>106468000</v>
      </c>
    </row>
    <row r="454" spans="1:7" s="32" customFormat="1" ht="15.75">
      <c r="A454" s="26" t="s">
        <v>237</v>
      </c>
      <c r="B454" s="23" t="s">
        <v>318</v>
      </c>
      <c r="C454" s="19" t="s">
        <v>342</v>
      </c>
      <c r="D454" s="19">
        <v>410</v>
      </c>
      <c r="E454" s="24">
        <v>0</v>
      </c>
      <c r="F454" s="29">
        <f>1064679.71+105403320.29</f>
        <v>106468000</v>
      </c>
      <c r="G454" s="25">
        <f t="shared" si="20"/>
        <v>106468000</v>
      </c>
    </row>
    <row r="455" spans="1:7" s="32" customFormat="1" ht="15.75">
      <c r="A455" s="22" t="s">
        <v>12</v>
      </c>
      <c r="B455" s="23" t="s">
        <v>318</v>
      </c>
      <c r="C455" s="19" t="s">
        <v>13</v>
      </c>
      <c r="D455" s="44"/>
      <c r="E455" s="24">
        <f>E456</f>
        <v>20000000</v>
      </c>
      <c r="F455" s="24">
        <f>F456</f>
        <v>0</v>
      </c>
      <c r="G455" s="25">
        <f t="shared" si="20"/>
        <v>20000000</v>
      </c>
    </row>
    <row r="456" spans="1:7" s="32" customFormat="1" ht="31.5">
      <c r="A456" s="26" t="s">
        <v>67</v>
      </c>
      <c r="B456" s="23" t="s">
        <v>318</v>
      </c>
      <c r="C456" s="19" t="s">
        <v>68</v>
      </c>
      <c r="D456" s="19"/>
      <c r="E456" s="24">
        <f>SUM(E457)</f>
        <v>20000000</v>
      </c>
      <c r="F456" s="29">
        <f>F457</f>
        <v>0</v>
      </c>
      <c r="G456" s="25">
        <f t="shared" si="20"/>
        <v>20000000</v>
      </c>
    </row>
    <row r="457" spans="1:7" s="32" customFormat="1" ht="63">
      <c r="A457" s="26" t="s">
        <v>343</v>
      </c>
      <c r="B457" s="23" t="s">
        <v>318</v>
      </c>
      <c r="C457" s="19" t="s">
        <v>344</v>
      </c>
      <c r="D457" s="19"/>
      <c r="E457" s="29">
        <f>E458</f>
        <v>20000000</v>
      </c>
      <c r="F457" s="29">
        <f>F458</f>
        <v>0</v>
      </c>
      <c r="G457" s="25">
        <f t="shared" si="20"/>
        <v>20000000</v>
      </c>
    </row>
    <row r="458" spans="1:7" s="32" customFormat="1" ht="15.75">
      <c r="A458" s="26" t="s">
        <v>26</v>
      </c>
      <c r="B458" s="23" t="s">
        <v>318</v>
      </c>
      <c r="C458" s="19" t="s">
        <v>344</v>
      </c>
      <c r="D458" s="19">
        <v>800</v>
      </c>
      <c r="E458" s="29">
        <f>E459</f>
        <v>20000000</v>
      </c>
      <c r="F458" s="29">
        <f>F459</f>
        <v>0</v>
      </c>
      <c r="G458" s="25">
        <f t="shared" si="20"/>
        <v>20000000</v>
      </c>
    </row>
    <row r="459" spans="1:7" s="32" customFormat="1" ht="47.25">
      <c r="A459" s="26" t="s">
        <v>207</v>
      </c>
      <c r="B459" s="23" t="s">
        <v>318</v>
      </c>
      <c r="C459" s="19" t="s">
        <v>344</v>
      </c>
      <c r="D459" s="19">
        <v>810</v>
      </c>
      <c r="E459" s="29">
        <v>20000000</v>
      </c>
      <c r="F459" s="29"/>
      <c r="G459" s="25">
        <f t="shared" si="20"/>
        <v>20000000</v>
      </c>
    </row>
    <row r="460" spans="1:7" s="32" customFormat="1" ht="15.75">
      <c r="A460" s="17" t="s">
        <v>345</v>
      </c>
      <c r="B460" s="18" t="s">
        <v>346</v>
      </c>
      <c r="C460" s="44"/>
      <c r="D460" s="44"/>
      <c r="E460" s="20">
        <f>E461+E505+E492</f>
        <v>216114007.99</v>
      </c>
      <c r="F460" s="20">
        <f>F461+F505+F492</f>
        <v>39148166.8</v>
      </c>
      <c r="G460" s="21">
        <f t="shared" si="20"/>
        <v>255262174.79000002</v>
      </c>
    </row>
    <row r="461" spans="1:7" s="32" customFormat="1" ht="31.5">
      <c r="A461" s="26" t="s">
        <v>90</v>
      </c>
      <c r="B461" s="23" t="s">
        <v>346</v>
      </c>
      <c r="C461" s="19" t="s">
        <v>91</v>
      </c>
      <c r="D461" s="19"/>
      <c r="E461" s="24">
        <f>SUM(E462,E474,E481,E488)</f>
        <v>154220000</v>
      </c>
      <c r="F461" s="24">
        <f>SUM(F462,F474,F481,F488)</f>
        <v>3458276</v>
      </c>
      <c r="G461" s="25">
        <f t="shared" si="20"/>
        <v>157678276</v>
      </c>
    </row>
    <row r="462" spans="1:7" s="32" customFormat="1" ht="31.5">
      <c r="A462" s="26" t="s">
        <v>347</v>
      </c>
      <c r="B462" s="23" t="s">
        <v>346</v>
      </c>
      <c r="C462" s="19" t="s">
        <v>348</v>
      </c>
      <c r="D462" s="19"/>
      <c r="E462" s="24">
        <f>SUM(E463,E468,E471)</f>
        <v>72120000</v>
      </c>
      <c r="F462" s="24">
        <f>SUM(F463,F468,F471)</f>
        <v>0</v>
      </c>
      <c r="G462" s="25">
        <f t="shared" si="20"/>
        <v>72120000</v>
      </c>
    </row>
    <row r="463" spans="1:7" s="32" customFormat="1" ht="31.5">
      <c r="A463" s="26" t="s">
        <v>349</v>
      </c>
      <c r="B463" s="23" t="s">
        <v>346</v>
      </c>
      <c r="C463" s="19" t="s">
        <v>350</v>
      </c>
      <c r="D463" s="19"/>
      <c r="E463" s="24">
        <f>E466+E464</f>
        <v>33120000</v>
      </c>
      <c r="F463" s="24">
        <f>F466+F464</f>
        <v>-2000000</v>
      </c>
      <c r="G463" s="25">
        <f t="shared" si="20"/>
        <v>31120000</v>
      </c>
    </row>
    <row r="464" spans="1:7" s="32" customFormat="1" ht="31.5">
      <c r="A464" s="30" t="s">
        <v>22</v>
      </c>
      <c r="B464" s="23" t="s">
        <v>346</v>
      </c>
      <c r="C464" s="19" t="s">
        <v>350</v>
      </c>
      <c r="D464" s="19">
        <v>200</v>
      </c>
      <c r="E464" s="24">
        <f>E465</f>
        <v>0</v>
      </c>
      <c r="F464" s="24">
        <f>F465</f>
        <v>453882</v>
      </c>
      <c r="G464" s="25">
        <f t="shared" si="20"/>
        <v>453882</v>
      </c>
    </row>
    <row r="465" spans="1:7" s="32" customFormat="1" ht="31.5">
      <c r="A465" s="30" t="s">
        <v>24</v>
      </c>
      <c r="B465" s="23" t="s">
        <v>346</v>
      </c>
      <c r="C465" s="19" t="s">
        <v>350</v>
      </c>
      <c r="D465" s="19">
        <v>240</v>
      </c>
      <c r="E465" s="24">
        <v>0</v>
      </c>
      <c r="F465" s="24">
        <v>453882</v>
      </c>
      <c r="G465" s="25">
        <f t="shared" si="20"/>
        <v>453882</v>
      </c>
    </row>
    <row r="466" spans="1:7" s="32" customFormat="1" ht="15.75">
      <c r="A466" s="30" t="s">
        <v>26</v>
      </c>
      <c r="B466" s="23" t="s">
        <v>346</v>
      </c>
      <c r="C466" s="19" t="s">
        <v>350</v>
      </c>
      <c r="D466" s="19">
        <v>800</v>
      </c>
      <c r="E466" s="24">
        <f>E467</f>
        <v>33120000</v>
      </c>
      <c r="F466" s="24">
        <f>F467</f>
        <v>-2453882</v>
      </c>
      <c r="G466" s="25">
        <f t="shared" si="20"/>
        <v>30666118</v>
      </c>
    </row>
    <row r="467" spans="1:7" s="13" customFormat="1" ht="47.25">
      <c r="A467" s="26" t="s">
        <v>207</v>
      </c>
      <c r="B467" s="23" t="s">
        <v>346</v>
      </c>
      <c r="C467" s="19" t="s">
        <v>350</v>
      </c>
      <c r="D467" s="19">
        <v>810</v>
      </c>
      <c r="E467" s="24">
        <v>33120000</v>
      </c>
      <c r="F467" s="29">
        <f>-453882-2000000</f>
        <v>-2453882</v>
      </c>
      <c r="G467" s="25">
        <f t="shared" si="20"/>
        <v>30666118</v>
      </c>
    </row>
    <row r="468" spans="1:7" s="13" customFormat="1" ht="47.25">
      <c r="A468" s="26" t="s">
        <v>351</v>
      </c>
      <c r="B468" s="23" t="s">
        <v>346</v>
      </c>
      <c r="C468" s="19" t="s">
        <v>352</v>
      </c>
      <c r="D468" s="19"/>
      <c r="E468" s="24">
        <f>E469</f>
        <v>30000000</v>
      </c>
      <c r="F468" s="24">
        <f>F469</f>
        <v>2000000</v>
      </c>
      <c r="G468" s="25">
        <f t="shared" si="20"/>
        <v>32000000</v>
      </c>
    </row>
    <row r="469" spans="1:7" s="32" customFormat="1" ht="15.75">
      <c r="A469" s="30" t="s">
        <v>26</v>
      </c>
      <c r="B469" s="23" t="s">
        <v>346</v>
      </c>
      <c r="C469" s="19" t="s">
        <v>352</v>
      </c>
      <c r="D469" s="19">
        <v>800</v>
      </c>
      <c r="E469" s="24">
        <f>E470</f>
        <v>30000000</v>
      </c>
      <c r="F469" s="24">
        <f>F470</f>
        <v>2000000</v>
      </c>
      <c r="G469" s="25">
        <f t="shared" si="20"/>
        <v>32000000</v>
      </c>
    </row>
    <row r="470" spans="1:7" s="32" customFormat="1" ht="47.25">
      <c r="A470" s="26" t="s">
        <v>207</v>
      </c>
      <c r="B470" s="23" t="s">
        <v>346</v>
      </c>
      <c r="C470" s="19" t="s">
        <v>352</v>
      </c>
      <c r="D470" s="19">
        <v>810</v>
      </c>
      <c r="E470" s="24">
        <v>30000000</v>
      </c>
      <c r="F470" s="29">
        <v>2000000</v>
      </c>
      <c r="G470" s="25">
        <f t="shared" si="20"/>
        <v>32000000</v>
      </c>
    </row>
    <row r="471" spans="1:7" s="32" customFormat="1" ht="31.5">
      <c r="A471" s="46" t="s">
        <v>353</v>
      </c>
      <c r="B471" s="23" t="s">
        <v>346</v>
      </c>
      <c r="C471" s="19" t="s">
        <v>354</v>
      </c>
      <c r="D471" s="19"/>
      <c r="E471" s="24">
        <f>E472</f>
        <v>9000000</v>
      </c>
      <c r="F471" s="24">
        <f>F472</f>
        <v>0</v>
      </c>
      <c r="G471" s="25">
        <f t="shared" si="20"/>
        <v>9000000</v>
      </c>
    </row>
    <row r="472" spans="1:7" s="32" customFormat="1" ht="15.75">
      <c r="A472" s="30" t="s">
        <v>26</v>
      </c>
      <c r="B472" s="23" t="s">
        <v>346</v>
      </c>
      <c r="C472" s="19" t="s">
        <v>354</v>
      </c>
      <c r="D472" s="19">
        <v>800</v>
      </c>
      <c r="E472" s="24">
        <f>E473</f>
        <v>9000000</v>
      </c>
      <c r="F472" s="24">
        <f>F473</f>
        <v>0</v>
      </c>
      <c r="G472" s="25">
        <f t="shared" si="20"/>
        <v>9000000</v>
      </c>
    </row>
    <row r="473" spans="1:7" s="32" customFormat="1" ht="47.25">
      <c r="A473" s="26" t="s">
        <v>207</v>
      </c>
      <c r="B473" s="23" t="s">
        <v>346</v>
      </c>
      <c r="C473" s="19" t="s">
        <v>354</v>
      </c>
      <c r="D473" s="19">
        <v>810</v>
      </c>
      <c r="E473" s="24">
        <v>9000000</v>
      </c>
      <c r="F473" s="29">
        <v>0</v>
      </c>
      <c r="G473" s="25">
        <f t="shared" si="20"/>
        <v>9000000</v>
      </c>
    </row>
    <row r="474" spans="1:7" s="13" customFormat="1" ht="31.5">
      <c r="A474" s="26" t="s">
        <v>355</v>
      </c>
      <c r="B474" s="23" t="s">
        <v>346</v>
      </c>
      <c r="C474" s="19" t="s">
        <v>356</v>
      </c>
      <c r="D474" s="19"/>
      <c r="E474" s="24">
        <f>SUM(E475,E478)</f>
        <v>46000000</v>
      </c>
      <c r="F474" s="24">
        <f>SUM(F475,F478)</f>
        <v>8650000</v>
      </c>
      <c r="G474" s="25">
        <f t="shared" si="20"/>
        <v>54650000</v>
      </c>
    </row>
    <row r="475" spans="1:7" s="32" customFormat="1" ht="31.5">
      <c r="A475" s="26" t="s">
        <v>357</v>
      </c>
      <c r="B475" s="23" t="s">
        <v>346</v>
      </c>
      <c r="C475" s="19" t="s">
        <v>358</v>
      </c>
      <c r="D475" s="19"/>
      <c r="E475" s="24">
        <f>E476</f>
        <v>41000000</v>
      </c>
      <c r="F475" s="29">
        <f>F476</f>
        <v>3394617.46</v>
      </c>
      <c r="G475" s="25">
        <f t="shared" si="20"/>
        <v>44394617.46</v>
      </c>
    </row>
    <row r="476" spans="1:7" s="32" customFormat="1" ht="15.75">
      <c r="A476" s="30" t="s">
        <v>26</v>
      </c>
      <c r="B476" s="23" t="s">
        <v>346</v>
      </c>
      <c r="C476" s="19" t="s">
        <v>358</v>
      </c>
      <c r="D476" s="19">
        <v>800</v>
      </c>
      <c r="E476" s="24">
        <f>E477</f>
        <v>41000000</v>
      </c>
      <c r="F476" s="29">
        <f>F477</f>
        <v>3394617.46</v>
      </c>
      <c r="G476" s="25">
        <f t="shared" si="20"/>
        <v>44394617.46</v>
      </c>
    </row>
    <row r="477" spans="1:7" s="13" customFormat="1" ht="47.25">
      <c r="A477" s="26" t="s">
        <v>207</v>
      </c>
      <c r="B477" s="23" t="s">
        <v>346</v>
      </c>
      <c r="C477" s="19" t="s">
        <v>358</v>
      </c>
      <c r="D477" s="19">
        <v>810</v>
      </c>
      <c r="E477" s="24">
        <v>41000000</v>
      </c>
      <c r="F477" s="29">
        <f>1394617.46+4000000-2000000</f>
        <v>3394617.46</v>
      </c>
      <c r="G477" s="25">
        <f t="shared" si="20"/>
        <v>44394617.46</v>
      </c>
    </row>
    <row r="478" spans="1:7" s="32" customFormat="1" ht="31.5">
      <c r="A478" s="26" t="s">
        <v>359</v>
      </c>
      <c r="B478" s="23" t="s">
        <v>346</v>
      </c>
      <c r="C478" s="19" t="s">
        <v>360</v>
      </c>
      <c r="D478" s="19"/>
      <c r="E478" s="24">
        <f>E479</f>
        <v>5000000</v>
      </c>
      <c r="F478" s="29">
        <f>F479</f>
        <v>5255382.54</v>
      </c>
      <c r="G478" s="25">
        <f t="shared" si="20"/>
        <v>10255382.54</v>
      </c>
    </row>
    <row r="479" spans="1:7" s="13" customFormat="1" ht="31.5">
      <c r="A479" s="26" t="s">
        <v>236</v>
      </c>
      <c r="B479" s="23" t="s">
        <v>346</v>
      </c>
      <c r="C479" s="19" t="s">
        <v>360</v>
      </c>
      <c r="D479" s="19">
        <v>400</v>
      </c>
      <c r="E479" s="24">
        <f>E480</f>
        <v>5000000</v>
      </c>
      <c r="F479" s="29">
        <f>F480</f>
        <v>5255382.54</v>
      </c>
      <c r="G479" s="25">
        <f aca="true" t="shared" si="21" ref="G479:G542">SUM(E479:F479)</f>
        <v>10255382.54</v>
      </c>
    </row>
    <row r="480" spans="1:7" s="32" customFormat="1" ht="110.25">
      <c r="A480" s="26" t="s">
        <v>323</v>
      </c>
      <c r="B480" s="23" t="s">
        <v>346</v>
      </c>
      <c r="C480" s="19" t="s">
        <v>360</v>
      </c>
      <c r="D480" s="19">
        <v>460</v>
      </c>
      <c r="E480" s="24">
        <v>5000000</v>
      </c>
      <c r="F480" s="29">
        <f>4800000+3150000+1900000-4800000+1600000-1394617.46</f>
        <v>5255382.54</v>
      </c>
      <c r="G480" s="25">
        <f t="shared" si="21"/>
        <v>10255382.54</v>
      </c>
    </row>
    <row r="481" spans="1:7" s="32" customFormat="1" ht="31.5">
      <c r="A481" s="46" t="s">
        <v>361</v>
      </c>
      <c r="B481" s="23" t="s">
        <v>346</v>
      </c>
      <c r="C481" s="19" t="s">
        <v>362</v>
      </c>
      <c r="D481" s="19"/>
      <c r="E481" s="24">
        <f>E482+E485</f>
        <v>33400000</v>
      </c>
      <c r="F481" s="24">
        <f>F482+F485</f>
        <v>-4930000</v>
      </c>
      <c r="G481" s="25">
        <f t="shared" si="21"/>
        <v>28470000</v>
      </c>
    </row>
    <row r="482" spans="1:7" s="32" customFormat="1" ht="31.5">
      <c r="A482" s="46" t="s">
        <v>363</v>
      </c>
      <c r="B482" s="23" t="s">
        <v>346</v>
      </c>
      <c r="C482" s="19" t="s">
        <v>364</v>
      </c>
      <c r="D482" s="19"/>
      <c r="E482" s="24">
        <f>E483</f>
        <v>32000000</v>
      </c>
      <c r="F482" s="24">
        <f>F483</f>
        <v>-5000000</v>
      </c>
      <c r="G482" s="25">
        <f t="shared" si="21"/>
        <v>27000000</v>
      </c>
    </row>
    <row r="483" spans="1:7" s="49" customFormat="1" ht="31.5">
      <c r="A483" s="26" t="s">
        <v>103</v>
      </c>
      <c r="B483" s="23" t="s">
        <v>346</v>
      </c>
      <c r="C483" s="19" t="s">
        <v>364</v>
      </c>
      <c r="D483" s="19">
        <v>600</v>
      </c>
      <c r="E483" s="24">
        <f>E484</f>
        <v>32000000</v>
      </c>
      <c r="F483" s="24">
        <f>F484</f>
        <v>-5000000</v>
      </c>
      <c r="G483" s="25">
        <f t="shared" si="21"/>
        <v>27000000</v>
      </c>
    </row>
    <row r="484" spans="1:7" s="32" customFormat="1" ht="15.75">
      <c r="A484" s="26" t="s">
        <v>365</v>
      </c>
      <c r="B484" s="23" t="s">
        <v>346</v>
      </c>
      <c r="C484" s="19" t="s">
        <v>364</v>
      </c>
      <c r="D484" s="19">
        <v>620</v>
      </c>
      <c r="E484" s="24">
        <v>32000000</v>
      </c>
      <c r="F484" s="29">
        <v>-5000000</v>
      </c>
      <c r="G484" s="25">
        <f t="shared" si="21"/>
        <v>27000000</v>
      </c>
    </row>
    <row r="485" spans="1:7" s="32" customFormat="1" ht="31.5">
      <c r="A485" s="46" t="s">
        <v>366</v>
      </c>
      <c r="B485" s="23" t="s">
        <v>346</v>
      </c>
      <c r="C485" s="19" t="s">
        <v>367</v>
      </c>
      <c r="D485" s="19"/>
      <c r="E485" s="24">
        <f>E486</f>
        <v>1400000</v>
      </c>
      <c r="F485" s="24">
        <f>F486</f>
        <v>70000</v>
      </c>
      <c r="G485" s="25">
        <f t="shared" si="21"/>
        <v>1470000</v>
      </c>
    </row>
    <row r="486" spans="1:7" s="32" customFormat="1" ht="31.5">
      <c r="A486" s="26" t="s">
        <v>103</v>
      </c>
      <c r="B486" s="23" t="s">
        <v>346</v>
      </c>
      <c r="C486" s="19" t="s">
        <v>367</v>
      </c>
      <c r="D486" s="19">
        <v>600</v>
      </c>
      <c r="E486" s="24">
        <f>E487</f>
        <v>1400000</v>
      </c>
      <c r="F486" s="24">
        <f>F487</f>
        <v>70000</v>
      </c>
      <c r="G486" s="25">
        <f t="shared" si="21"/>
        <v>1470000</v>
      </c>
    </row>
    <row r="487" spans="1:7" s="32" customFormat="1" ht="15.75">
      <c r="A487" s="26" t="s">
        <v>365</v>
      </c>
      <c r="B487" s="23" t="s">
        <v>346</v>
      </c>
      <c r="C487" s="19" t="s">
        <v>367</v>
      </c>
      <c r="D487" s="19">
        <v>620</v>
      </c>
      <c r="E487" s="24">
        <v>1400000</v>
      </c>
      <c r="F487" s="29">
        <v>70000</v>
      </c>
      <c r="G487" s="25">
        <f t="shared" si="21"/>
        <v>1470000</v>
      </c>
    </row>
    <row r="488" spans="1:7" s="32" customFormat="1" ht="15.75">
      <c r="A488" s="46" t="s">
        <v>92</v>
      </c>
      <c r="B488" s="23" t="s">
        <v>346</v>
      </c>
      <c r="C488" s="19" t="s">
        <v>93</v>
      </c>
      <c r="D488" s="19"/>
      <c r="E488" s="24">
        <f aca="true" t="shared" si="22" ref="E488:F490">E489</f>
        <v>2700000</v>
      </c>
      <c r="F488" s="24">
        <f t="shared" si="22"/>
        <v>-261724</v>
      </c>
      <c r="G488" s="25">
        <f t="shared" si="21"/>
        <v>2438276</v>
      </c>
    </row>
    <row r="489" spans="1:7" s="13" customFormat="1" ht="31.5">
      <c r="A489" s="46" t="s">
        <v>368</v>
      </c>
      <c r="B489" s="23" t="s">
        <v>346</v>
      </c>
      <c r="C489" s="19" t="s">
        <v>369</v>
      </c>
      <c r="D489" s="19"/>
      <c r="E489" s="24">
        <f t="shared" si="22"/>
        <v>2700000</v>
      </c>
      <c r="F489" s="24">
        <f t="shared" si="22"/>
        <v>-261724</v>
      </c>
      <c r="G489" s="25">
        <f t="shared" si="21"/>
        <v>2438276</v>
      </c>
    </row>
    <row r="490" spans="1:7" s="32" customFormat="1" ht="31.5">
      <c r="A490" s="30" t="s">
        <v>22</v>
      </c>
      <c r="B490" s="23" t="s">
        <v>346</v>
      </c>
      <c r="C490" s="19" t="s">
        <v>369</v>
      </c>
      <c r="D490" s="19">
        <v>200</v>
      </c>
      <c r="E490" s="24">
        <f t="shared" si="22"/>
        <v>2700000</v>
      </c>
      <c r="F490" s="24">
        <f t="shared" si="22"/>
        <v>-261724</v>
      </c>
      <c r="G490" s="25">
        <f t="shared" si="21"/>
        <v>2438276</v>
      </c>
    </row>
    <row r="491" spans="1:7" s="32" customFormat="1" ht="31.5">
      <c r="A491" s="30" t="s">
        <v>24</v>
      </c>
      <c r="B491" s="23" t="s">
        <v>346</v>
      </c>
      <c r="C491" s="19" t="s">
        <v>369</v>
      </c>
      <c r="D491" s="19">
        <v>240</v>
      </c>
      <c r="E491" s="29">
        <v>2700000</v>
      </c>
      <c r="F491" s="29">
        <v>-261724</v>
      </c>
      <c r="G491" s="25">
        <f t="shared" si="21"/>
        <v>2438276</v>
      </c>
    </row>
    <row r="492" spans="1:7" s="32" customFormat="1" ht="31.5">
      <c r="A492" s="30" t="s">
        <v>370</v>
      </c>
      <c r="B492" s="23" t="s">
        <v>346</v>
      </c>
      <c r="C492" s="19" t="s">
        <v>371</v>
      </c>
      <c r="D492" s="19"/>
      <c r="E492" s="29">
        <f>SUM(E493,E496,E499,E502)</f>
        <v>60541098.989999995</v>
      </c>
      <c r="F492" s="29">
        <f>SUM(F493,F496,F499,F502)</f>
        <v>689890.799999997</v>
      </c>
      <c r="G492" s="25">
        <f t="shared" si="21"/>
        <v>61230989.78999999</v>
      </c>
    </row>
    <row r="493" spans="1:7" s="32" customFormat="1" ht="63">
      <c r="A493" s="30" t="s">
        <v>372</v>
      </c>
      <c r="B493" s="23" t="s">
        <v>346</v>
      </c>
      <c r="C493" s="19" t="s">
        <v>373</v>
      </c>
      <c r="D493" s="19"/>
      <c r="E493" s="29">
        <f>E494</f>
        <v>25915485.66</v>
      </c>
      <c r="F493" s="29">
        <f>F494</f>
        <v>-15930999.270000001</v>
      </c>
      <c r="G493" s="25">
        <f t="shared" si="21"/>
        <v>9984486.389999999</v>
      </c>
    </row>
    <row r="494" spans="1:7" s="32" customFormat="1" ht="31.5">
      <c r="A494" s="30" t="s">
        <v>22</v>
      </c>
      <c r="B494" s="23" t="s">
        <v>346</v>
      </c>
      <c r="C494" s="19" t="s">
        <v>373</v>
      </c>
      <c r="D494" s="19">
        <v>200</v>
      </c>
      <c r="E494" s="29">
        <f>E495</f>
        <v>25915485.66</v>
      </c>
      <c r="F494" s="29">
        <f>F495</f>
        <v>-15930999.270000001</v>
      </c>
      <c r="G494" s="25">
        <f t="shared" si="21"/>
        <v>9984486.389999999</v>
      </c>
    </row>
    <row r="495" spans="1:7" s="32" customFormat="1" ht="31.5">
      <c r="A495" s="30" t="s">
        <v>24</v>
      </c>
      <c r="B495" s="23" t="s">
        <v>346</v>
      </c>
      <c r="C495" s="19" t="s">
        <v>373</v>
      </c>
      <c r="D495" s="19">
        <v>240</v>
      </c>
      <c r="E495" s="29">
        <f>27000000-355850.02-728664.32</f>
        <v>25915485.66</v>
      </c>
      <c r="F495" s="29">
        <f>2685273.01+11199.23+600000+0.05-515723.7-6849055.46-89400-9850000-1423292.4-500000</f>
        <v>-15930999.270000001</v>
      </c>
      <c r="G495" s="25">
        <f t="shared" si="21"/>
        <v>9984486.389999999</v>
      </c>
    </row>
    <row r="496" spans="1:7" s="32" customFormat="1" ht="78.75">
      <c r="A496" s="26" t="s">
        <v>374</v>
      </c>
      <c r="B496" s="23" t="s">
        <v>346</v>
      </c>
      <c r="C496" s="19" t="s">
        <v>375</v>
      </c>
      <c r="D496" s="19"/>
      <c r="E496" s="29">
        <f>E497</f>
        <v>11120313.11</v>
      </c>
      <c r="F496" s="29">
        <f>F497</f>
        <v>-11120313.110000001</v>
      </c>
      <c r="G496" s="25">
        <f t="shared" si="21"/>
        <v>0</v>
      </c>
    </row>
    <row r="497" spans="1:7" s="32" customFormat="1" ht="31.5">
      <c r="A497" s="30" t="s">
        <v>22</v>
      </c>
      <c r="B497" s="23" t="s">
        <v>346</v>
      </c>
      <c r="C497" s="19" t="s">
        <v>375</v>
      </c>
      <c r="D497" s="19">
        <v>200</v>
      </c>
      <c r="E497" s="29">
        <f>E498</f>
        <v>11120313.11</v>
      </c>
      <c r="F497" s="29">
        <f>F498</f>
        <v>-11120313.110000001</v>
      </c>
      <c r="G497" s="25">
        <f t="shared" si="21"/>
        <v>0</v>
      </c>
    </row>
    <row r="498" spans="1:7" s="32" customFormat="1" ht="31.5">
      <c r="A498" s="30" t="s">
        <v>24</v>
      </c>
      <c r="B498" s="23" t="s">
        <v>346</v>
      </c>
      <c r="C498" s="19" t="s">
        <v>375</v>
      </c>
      <c r="D498" s="19">
        <v>240</v>
      </c>
      <c r="E498" s="29">
        <f>10764463.09+355850.02</f>
        <v>11120313.11</v>
      </c>
      <c r="F498" s="29">
        <f>-220362.47-10899950.64</f>
        <v>-11120313.110000001</v>
      </c>
      <c r="G498" s="25">
        <f t="shared" si="21"/>
        <v>0</v>
      </c>
    </row>
    <row r="499" spans="1:7" s="32" customFormat="1" ht="110.25">
      <c r="A499" s="59" t="s">
        <v>376</v>
      </c>
      <c r="B499" s="23" t="s">
        <v>346</v>
      </c>
      <c r="C499" s="19" t="s">
        <v>377</v>
      </c>
      <c r="D499" s="19"/>
      <c r="E499" s="29">
        <f>E500</f>
        <v>23505300.22</v>
      </c>
      <c r="F499" s="29">
        <f>F500</f>
        <v>11109113.83</v>
      </c>
      <c r="G499" s="25">
        <f t="shared" si="21"/>
        <v>34614414.05</v>
      </c>
    </row>
    <row r="500" spans="1:7" s="32" customFormat="1" ht="31.5">
      <c r="A500" s="30" t="s">
        <v>22</v>
      </c>
      <c r="B500" s="23" t="s">
        <v>346</v>
      </c>
      <c r="C500" s="19" t="s">
        <v>377</v>
      </c>
      <c r="D500" s="19">
        <v>200</v>
      </c>
      <c r="E500" s="29">
        <f>E501</f>
        <v>23505300.22</v>
      </c>
      <c r="F500" s="29">
        <f>F501</f>
        <v>11109113.83</v>
      </c>
      <c r="G500" s="25">
        <f t="shared" si="21"/>
        <v>34614414.05</v>
      </c>
    </row>
    <row r="501" spans="1:7" s="32" customFormat="1" ht="31.5">
      <c r="A501" s="30" t="s">
        <v>24</v>
      </c>
      <c r="B501" s="23" t="s">
        <v>346</v>
      </c>
      <c r="C501" s="19" t="s">
        <v>377</v>
      </c>
      <c r="D501" s="19">
        <v>240</v>
      </c>
      <c r="E501" s="29">
        <f>22776635.91+728664.31</f>
        <v>23505300.22</v>
      </c>
      <c r="F501" s="29">
        <f>220362.47+10888751.41-0.05</f>
        <v>11109113.83</v>
      </c>
      <c r="G501" s="25">
        <f t="shared" si="21"/>
        <v>34614414.05</v>
      </c>
    </row>
    <row r="502" spans="1:7" s="32" customFormat="1" ht="126">
      <c r="A502" s="30" t="s">
        <v>378</v>
      </c>
      <c r="B502" s="23" t="s">
        <v>346</v>
      </c>
      <c r="C502" s="19" t="s">
        <v>379</v>
      </c>
      <c r="D502" s="19"/>
      <c r="E502" s="29">
        <f>E503</f>
        <v>0</v>
      </c>
      <c r="F502" s="29">
        <f>F503</f>
        <v>16632089.35</v>
      </c>
      <c r="G502" s="25">
        <f t="shared" si="21"/>
        <v>16632089.35</v>
      </c>
    </row>
    <row r="503" spans="1:7" s="32" customFormat="1" ht="31.5">
      <c r="A503" s="30" t="s">
        <v>22</v>
      </c>
      <c r="B503" s="23" t="s">
        <v>346</v>
      </c>
      <c r="C503" s="19" t="s">
        <v>379</v>
      </c>
      <c r="D503" s="19">
        <v>200</v>
      </c>
      <c r="E503" s="29">
        <f>E504</f>
        <v>0</v>
      </c>
      <c r="F503" s="29">
        <f>F504</f>
        <v>16632089.35</v>
      </c>
      <c r="G503" s="25">
        <f t="shared" si="21"/>
        <v>16632089.35</v>
      </c>
    </row>
    <row r="504" spans="1:7" s="32" customFormat="1" ht="31.5">
      <c r="A504" s="30" t="s">
        <v>24</v>
      </c>
      <c r="B504" s="23" t="s">
        <v>346</v>
      </c>
      <c r="C504" s="19" t="s">
        <v>379</v>
      </c>
      <c r="D504" s="19">
        <v>240</v>
      </c>
      <c r="E504" s="29">
        <v>0</v>
      </c>
      <c r="F504" s="29">
        <f>10888751.41-10888751.41+16632089.35</f>
        <v>16632089.35</v>
      </c>
      <c r="G504" s="25">
        <f t="shared" si="21"/>
        <v>16632089.35</v>
      </c>
    </row>
    <row r="505" spans="1:7" s="13" customFormat="1" ht="15.75">
      <c r="A505" s="22" t="s">
        <v>12</v>
      </c>
      <c r="B505" s="23" t="s">
        <v>346</v>
      </c>
      <c r="C505" s="19" t="s">
        <v>13</v>
      </c>
      <c r="D505" s="19"/>
      <c r="E505" s="29">
        <f>SUM(E506,E510)</f>
        <v>1352909</v>
      </c>
      <c r="F505" s="29">
        <f>SUM(F506,F510)</f>
        <v>35000000</v>
      </c>
      <c r="G505" s="25">
        <f t="shared" si="21"/>
        <v>36352909</v>
      </c>
    </row>
    <row r="506" spans="1:7" s="13" customFormat="1" ht="31.5">
      <c r="A506" s="26" t="s">
        <v>67</v>
      </c>
      <c r="B506" s="23" t="s">
        <v>346</v>
      </c>
      <c r="C506" s="19" t="s">
        <v>68</v>
      </c>
      <c r="D506" s="19"/>
      <c r="E506" s="24">
        <f aca="true" t="shared" si="23" ref="E506:F508">E507</f>
        <v>0</v>
      </c>
      <c r="F506" s="24">
        <f t="shared" si="23"/>
        <v>5000000</v>
      </c>
      <c r="G506" s="25">
        <f t="shared" si="21"/>
        <v>5000000</v>
      </c>
    </row>
    <row r="507" spans="1:7" s="13" customFormat="1" ht="47.25">
      <c r="A507" s="26" t="s">
        <v>380</v>
      </c>
      <c r="B507" s="23" t="s">
        <v>346</v>
      </c>
      <c r="C507" s="19" t="s">
        <v>381</v>
      </c>
      <c r="D507" s="19"/>
      <c r="E507" s="29">
        <f t="shared" si="23"/>
        <v>0</v>
      </c>
      <c r="F507" s="29">
        <f t="shared" si="23"/>
        <v>5000000</v>
      </c>
      <c r="G507" s="25">
        <f t="shared" si="21"/>
        <v>5000000</v>
      </c>
    </row>
    <row r="508" spans="1:7" s="13" customFormat="1" ht="15.75">
      <c r="A508" s="30" t="s">
        <v>26</v>
      </c>
      <c r="B508" s="23" t="s">
        <v>346</v>
      </c>
      <c r="C508" s="19" t="s">
        <v>381</v>
      </c>
      <c r="D508" s="19">
        <v>800</v>
      </c>
      <c r="E508" s="24">
        <f t="shared" si="23"/>
        <v>0</v>
      </c>
      <c r="F508" s="29">
        <f t="shared" si="23"/>
        <v>5000000</v>
      </c>
      <c r="G508" s="25">
        <f t="shared" si="21"/>
        <v>5000000</v>
      </c>
    </row>
    <row r="509" spans="1:7" s="13" customFormat="1" ht="47.25">
      <c r="A509" s="26" t="s">
        <v>207</v>
      </c>
      <c r="B509" s="23" t="s">
        <v>346</v>
      </c>
      <c r="C509" s="19" t="s">
        <v>381</v>
      </c>
      <c r="D509" s="19">
        <v>810</v>
      </c>
      <c r="E509" s="24">
        <v>0</v>
      </c>
      <c r="F509" s="29">
        <v>5000000</v>
      </c>
      <c r="G509" s="25">
        <f t="shared" si="21"/>
        <v>5000000</v>
      </c>
    </row>
    <row r="510" spans="1:7" s="32" customFormat="1" ht="47.25">
      <c r="A510" s="26" t="s">
        <v>50</v>
      </c>
      <c r="B510" s="23" t="s">
        <v>346</v>
      </c>
      <c r="C510" s="19" t="s">
        <v>51</v>
      </c>
      <c r="D510" s="19"/>
      <c r="E510" s="24">
        <f>E517+E511+E514</f>
        <v>1352909</v>
      </c>
      <c r="F510" s="24">
        <f>F517+F511+F514</f>
        <v>30000000</v>
      </c>
      <c r="G510" s="25">
        <f t="shared" si="21"/>
        <v>31352909</v>
      </c>
    </row>
    <row r="511" spans="1:7" s="32" customFormat="1" ht="47.25">
      <c r="A511" s="26" t="s">
        <v>382</v>
      </c>
      <c r="B511" s="23" t="s">
        <v>346</v>
      </c>
      <c r="C511" s="19" t="s">
        <v>383</v>
      </c>
      <c r="D511" s="19"/>
      <c r="E511" s="24">
        <f>E512</f>
        <v>0</v>
      </c>
      <c r="F511" s="24">
        <f>F512</f>
        <v>1200000</v>
      </c>
      <c r="G511" s="25">
        <f t="shared" si="21"/>
        <v>1200000</v>
      </c>
    </row>
    <row r="512" spans="1:7" s="32" customFormat="1" ht="31.5">
      <c r="A512" s="30" t="s">
        <v>22</v>
      </c>
      <c r="B512" s="23" t="s">
        <v>346</v>
      </c>
      <c r="C512" s="19" t="s">
        <v>383</v>
      </c>
      <c r="D512" s="19">
        <v>200</v>
      </c>
      <c r="E512" s="24">
        <f>E513</f>
        <v>0</v>
      </c>
      <c r="F512" s="24">
        <f>F513</f>
        <v>1200000</v>
      </c>
      <c r="G512" s="25">
        <f t="shared" si="21"/>
        <v>1200000</v>
      </c>
    </row>
    <row r="513" spans="1:7" s="32" customFormat="1" ht="31.5">
      <c r="A513" s="26" t="s">
        <v>24</v>
      </c>
      <c r="B513" s="23" t="s">
        <v>346</v>
      </c>
      <c r="C513" s="19" t="s">
        <v>383</v>
      </c>
      <c r="D513" s="19">
        <v>240</v>
      </c>
      <c r="E513" s="24">
        <v>0</v>
      </c>
      <c r="F513" s="24">
        <v>1200000</v>
      </c>
      <c r="G513" s="25">
        <f t="shared" si="21"/>
        <v>1200000</v>
      </c>
    </row>
    <row r="514" spans="1:7" s="32" customFormat="1" ht="47.25">
      <c r="A514" s="26" t="s">
        <v>384</v>
      </c>
      <c r="B514" s="23" t="s">
        <v>346</v>
      </c>
      <c r="C514" s="19" t="s">
        <v>385</v>
      </c>
      <c r="D514" s="19"/>
      <c r="E514" s="24">
        <f>E515</f>
        <v>0</v>
      </c>
      <c r="F514" s="24">
        <f>F515</f>
        <v>28800000</v>
      </c>
      <c r="G514" s="25">
        <f t="shared" si="21"/>
        <v>28800000</v>
      </c>
    </row>
    <row r="515" spans="1:7" s="32" customFormat="1" ht="31.5">
      <c r="A515" s="30" t="s">
        <v>22</v>
      </c>
      <c r="B515" s="23" t="s">
        <v>346</v>
      </c>
      <c r="C515" s="19" t="s">
        <v>385</v>
      </c>
      <c r="D515" s="19">
        <v>200</v>
      </c>
      <c r="E515" s="24">
        <f>E516</f>
        <v>0</v>
      </c>
      <c r="F515" s="24">
        <f>F516</f>
        <v>28800000</v>
      </c>
      <c r="G515" s="25">
        <f t="shared" si="21"/>
        <v>28800000</v>
      </c>
    </row>
    <row r="516" spans="1:7" s="32" customFormat="1" ht="31.5">
      <c r="A516" s="26" t="s">
        <v>24</v>
      </c>
      <c r="B516" s="23" t="s">
        <v>346</v>
      </c>
      <c r="C516" s="19" t="s">
        <v>385</v>
      </c>
      <c r="D516" s="19">
        <v>240</v>
      </c>
      <c r="E516" s="24">
        <v>0</v>
      </c>
      <c r="F516" s="24">
        <v>28800000</v>
      </c>
      <c r="G516" s="25">
        <f t="shared" si="21"/>
        <v>28800000</v>
      </c>
    </row>
    <row r="517" spans="1:7" s="32" customFormat="1" ht="47.25">
      <c r="A517" s="26" t="s">
        <v>386</v>
      </c>
      <c r="B517" s="23" t="s">
        <v>346</v>
      </c>
      <c r="C517" s="19" t="s">
        <v>387</v>
      </c>
      <c r="D517" s="19"/>
      <c r="E517" s="29">
        <f>E518</f>
        <v>1352909</v>
      </c>
      <c r="F517" s="29">
        <f>F518</f>
        <v>0</v>
      </c>
      <c r="G517" s="25">
        <f t="shared" si="21"/>
        <v>1352909</v>
      </c>
    </row>
    <row r="518" spans="1:7" s="13" customFormat="1" ht="31.5">
      <c r="A518" s="30" t="s">
        <v>22</v>
      </c>
      <c r="B518" s="23" t="s">
        <v>346</v>
      </c>
      <c r="C518" s="19" t="s">
        <v>387</v>
      </c>
      <c r="D518" s="19">
        <v>200</v>
      </c>
      <c r="E518" s="29">
        <f>E519</f>
        <v>1352909</v>
      </c>
      <c r="F518" s="29">
        <f>F519</f>
        <v>0</v>
      </c>
      <c r="G518" s="25">
        <f t="shared" si="21"/>
        <v>1352909</v>
      </c>
    </row>
    <row r="519" spans="1:7" s="13" customFormat="1" ht="31.5">
      <c r="A519" s="26" t="s">
        <v>24</v>
      </c>
      <c r="B519" s="23" t="s">
        <v>346</v>
      </c>
      <c r="C519" s="19" t="s">
        <v>387</v>
      </c>
      <c r="D519" s="19">
        <v>240</v>
      </c>
      <c r="E519" s="29">
        <v>1352909</v>
      </c>
      <c r="F519" s="29">
        <v>0</v>
      </c>
      <c r="G519" s="25">
        <f t="shared" si="21"/>
        <v>1352909</v>
      </c>
    </row>
    <row r="520" spans="1:7" s="32" customFormat="1" ht="31.5">
      <c r="A520" s="61" t="s">
        <v>388</v>
      </c>
      <c r="B520" s="18" t="s">
        <v>389</v>
      </c>
      <c r="C520" s="34"/>
      <c r="D520" s="34"/>
      <c r="E520" s="62">
        <f>E521</f>
        <v>46997954</v>
      </c>
      <c r="F520" s="62">
        <f>F521</f>
        <v>480170.37</v>
      </c>
      <c r="G520" s="21">
        <f t="shared" si="21"/>
        <v>47478124.37</v>
      </c>
    </row>
    <row r="521" spans="1:7" s="32" customFormat="1" ht="31.5">
      <c r="A521" s="26" t="s">
        <v>99</v>
      </c>
      <c r="B521" s="23" t="s">
        <v>389</v>
      </c>
      <c r="C521" s="19" t="s">
        <v>324</v>
      </c>
      <c r="D521" s="23"/>
      <c r="E521" s="24">
        <f>E522+E525+E528</f>
        <v>46997954</v>
      </c>
      <c r="F521" s="24">
        <f>F522+F525+F528</f>
        <v>480170.37</v>
      </c>
      <c r="G521" s="25">
        <f t="shared" si="21"/>
        <v>47478124.37</v>
      </c>
    </row>
    <row r="522" spans="1:7" s="32" customFormat="1" ht="78.75">
      <c r="A522" s="26" t="s">
        <v>390</v>
      </c>
      <c r="B522" s="23" t="s">
        <v>389</v>
      </c>
      <c r="C522" s="19" t="s">
        <v>391</v>
      </c>
      <c r="D522" s="19"/>
      <c r="E522" s="24">
        <f>E523</f>
        <v>46997954</v>
      </c>
      <c r="F522" s="24">
        <f>F523</f>
        <v>-0.4</v>
      </c>
      <c r="G522" s="25">
        <f t="shared" si="21"/>
        <v>46997953.6</v>
      </c>
    </row>
    <row r="523" spans="1:7" s="32" customFormat="1" ht="31.5">
      <c r="A523" s="26" t="s">
        <v>236</v>
      </c>
      <c r="B523" s="23" t="s">
        <v>389</v>
      </c>
      <c r="C523" s="19" t="s">
        <v>391</v>
      </c>
      <c r="D523" s="19">
        <v>400</v>
      </c>
      <c r="E523" s="24">
        <f>E524</f>
        <v>46997954</v>
      </c>
      <c r="F523" s="24">
        <f>F524</f>
        <v>-0.4</v>
      </c>
      <c r="G523" s="25">
        <f t="shared" si="21"/>
        <v>46997953.6</v>
      </c>
    </row>
    <row r="524" spans="1:7" ht="15.75">
      <c r="A524" s="53" t="s">
        <v>237</v>
      </c>
      <c r="B524" s="23" t="s">
        <v>389</v>
      </c>
      <c r="C524" s="19" t="s">
        <v>391</v>
      </c>
      <c r="D524" s="19">
        <v>410</v>
      </c>
      <c r="E524" s="24">
        <f>2366940+44631014</f>
        <v>46997954</v>
      </c>
      <c r="F524" s="29">
        <f>-0.4</f>
        <v>-0.4</v>
      </c>
      <c r="G524" s="25">
        <f t="shared" si="21"/>
        <v>46997953.6</v>
      </c>
    </row>
    <row r="525" spans="1:7" ht="47.25">
      <c r="A525" s="26" t="s">
        <v>392</v>
      </c>
      <c r="B525" s="23" t="s">
        <v>389</v>
      </c>
      <c r="C525" s="19" t="s">
        <v>332</v>
      </c>
      <c r="D525" s="23"/>
      <c r="E525" s="24">
        <f>E526</f>
        <v>0</v>
      </c>
      <c r="F525" s="29">
        <f>F526</f>
        <v>231.77</v>
      </c>
      <c r="G525" s="25">
        <f t="shared" si="21"/>
        <v>231.77</v>
      </c>
    </row>
    <row r="526" spans="1:7" ht="31.5">
      <c r="A526" s="26" t="s">
        <v>236</v>
      </c>
      <c r="B526" s="23" t="s">
        <v>389</v>
      </c>
      <c r="C526" s="19" t="s">
        <v>332</v>
      </c>
      <c r="D526" s="23" t="s">
        <v>393</v>
      </c>
      <c r="E526" s="24">
        <f>E527</f>
        <v>0</v>
      </c>
      <c r="F526" s="29">
        <f>F527</f>
        <v>231.77</v>
      </c>
      <c r="G526" s="25">
        <f t="shared" si="21"/>
        <v>231.77</v>
      </c>
    </row>
    <row r="527" spans="1:7" ht="15.75">
      <c r="A527" s="53" t="s">
        <v>237</v>
      </c>
      <c r="B527" s="23" t="s">
        <v>389</v>
      </c>
      <c r="C527" s="19" t="s">
        <v>332</v>
      </c>
      <c r="D527" s="23" t="s">
        <v>394</v>
      </c>
      <c r="E527" s="24">
        <v>0</v>
      </c>
      <c r="F527" s="29">
        <v>231.77</v>
      </c>
      <c r="G527" s="25">
        <f t="shared" si="21"/>
        <v>231.77</v>
      </c>
    </row>
    <row r="528" spans="1:7" ht="94.5">
      <c r="A528" s="63" t="s">
        <v>395</v>
      </c>
      <c r="B528" s="23" t="s">
        <v>389</v>
      </c>
      <c r="C528" s="19" t="s">
        <v>396</v>
      </c>
      <c r="D528" s="23"/>
      <c r="E528" s="24">
        <f>E529</f>
        <v>0</v>
      </c>
      <c r="F528" s="29">
        <f>F529</f>
        <v>479939</v>
      </c>
      <c r="G528" s="25">
        <f t="shared" si="21"/>
        <v>479939</v>
      </c>
    </row>
    <row r="529" spans="1:7" ht="31.5">
      <c r="A529" s="26" t="s">
        <v>236</v>
      </c>
      <c r="B529" s="23" t="s">
        <v>389</v>
      </c>
      <c r="C529" s="19" t="s">
        <v>396</v>
      </c>
      <c r="D529" s="23" t="s">
        <v>393</v>
      </c>
      <c r="E529" s="24">
        <f>E530</f>
        <v>0</v>
      </c>
      <c r="F529" s="29">
        <f>F530</f>
        <v>479939</v>
      </c>
      <c r="G529" s="25">
        <f t="shared" si="21"/>
        <v>479939</v>
      </c>
    </row>
    <row r="530" spans="1:7" ht="15.75">
      <c r="A530" s="53" t="s">
        <v>237</v>
      </c>
      <c r="B530" s="23" t="s">
        <v>389</v>
      </c>
      <c r="C530" s="19" t="s">
        <v>396</v>
      </c>
      <c r="D530" s="23" t="s">
        <v>394</v>
      </c>
      <c r="E530" s="24">
        <v>0</v>
      </c>
      <c r="F530" s="29">
        <f>455942+23997</f>
        <v>479939</v>
      </c>
      <c r="G530" s="25">
        <f t="shared" si="21"/>
        <v>479939</v>
      </c>
    </row>
    <row r="531" spans="1:7" s="32" customFormat="1" ht="15.75">
      <c r="A531" s="14" t="s">
        <v>397</v>
      </c>
      <c r="B531" s="15" t="s">
        <v>398</v>
      </c>
      <c r="C531" s="44"/>
      <c r="D531" s="44"/>
      <c r="E531" s="50">
        <f>SUM(E532,E574,E656,E676,E622)</f>
        <v>4012156689.65</v>
      </c>
      <c r="F531" s="50">
        <f>SUM(F532,F574,F656,F676,F622)</f>
        <v>-817999914.32</v>
      </c>
      <c r="G531" s="16">
        <f t="shared" si="21"/>
        <v>3194156775.33</v>
      </c>
    </row>
    <row r="532" spans="1:7" s="13" customFormat="1" ht="15.75">
      <c r="A532" s="17" t="s">
        <v>399</v>
      </c>
      <c r="B532" s="18" t="s">
        <v>400</v>
      </c>
      <c r="C532" s="44"/>
      <c r="D532" s="44"/>
      <c r="E532" s="20">
        <f>E533+E569</f>
        <v>883765744.01</v>
      </c>
      <c r="F532" s="20">
        <f>F533+F569</f>
        <v>-165082246.29000002</v>
      </c>
      <c r="G532" s="21">
        <f t="shared" si="21"/>
        <v>718683497.72</v>
      </c>
    </row>
    <row r="533" spans="1:7" s="32" customFormat="1" ht="31.5">
      <c r="A533" s="26" t="s">
        <v>401</v>
      </c>
      <c r="B533" s="23" t="s">
        <v>400</v>
      </c>
      <c r="C533" s="19" t="s">
        <v>402</v>
      </c>
      <c r="D533" s="19"/>
      <c r="E533" s="24">
        <f>E534</f>
        <v>882965744.01</v>
      </c>
      <c r="F533" s="24">
        <f>F534</f>
        <v>-165082246.29000002</v>
      </c>
      <c r="G533" s="25">
        <f t="shared" si="21"/>
        <v>717883497.72</v>
      </c>
    </row>
    <row r="534" spans="1:7" ht="31.5">
      <c r="A534" s="46" t="s">
        <v>403</v>
      </c>
      <c r="B534" s="23" t="s">
        <v>400</v>
      </c>
      <c r="C534" s="19" t="s">
        <v>404</v>
      </c>
      <c r="D534" s="19"/>
      <c r="E534" s="24">
        <f>SUM(E535,E541,E544,E547,E550,E557,E560,E566,E563)</f>
        <v>882965744.01</v>
      </c>
      <c r="F534" s="24">
        <f>SUM(F535,F541,F544,F547,F550,F557,F560,F566,F563)</f>
        <v>-165082246.29000002</v>
      </c>
      <c r="G534" s="25">
        <f t="shared" si="21"/>
        <v>717883497.72</v>
      </c>
    </row>
    <row r="535" spans="1:7" ht="31.5">
      <c r="A535" s="46" t="s">
        <v>405</v>
      </c>
      <c r="B535" s="23" t="s">
        <v>400</v>
      </c>
      <c r="C535" s="19" t="s">
        <v>406</v>
      </c>
      <c r="D535" s="19"/>
      <c r="E535" s="24">
        <f>SUM(E536,E539)</f>
        <v>329646380</v>
      </c>
      <c r="F535" s="24">
        <f>SUM(F536,F539)</f>
        <v>3443023</v>
      </c>
      <c r="G535" s="25">
        <f t="shared" si="21"/>
        <v>333089403</v>
      </c>
    </row>
    <row r="536" spans="1:7" ht="31.5">
      <c r="A536" s="26" t="s">
        <v>103</v>
      </c>
      <c r="B536" s="23" t="s">
        <v>400</v>
      </c>
      <c r="C536" s="19" t="s">
        <v>406</v>
      </c>
      <c r="D536" s="19">
        <v>600</v>
      </c>
      <c r="E536" s="24">
        <f>SUM(E537:E538)</f>
        <v>328620810</v>
      </c>
      <c r="F536" s="24">
        <f>SUM(F537:F538)</f>
        <v>1779063</v>
      </c>
      <c r="G536" s="25">
        <f t="shared" si="21"/>
        <v>330399873</v>
      </c>
    </row>
    <row r="537" spans="1:7" ht="15.75">
      <c r="A537" s="26" t="s">
        <v>104</v>
      </c>
      <c r="B537" s="23" t="s">
        <v>400</v>
      </c>
      <c r="C537" s="19" t="s">
        <v>406</v>
      </c>
      <c r="D537" s="19">
        <v>610</v>
      </c>
      <c r="E537" s="29">
        <v>325938820</v>
      </c>
      <c r="F537" s="29">
        <f>28008+3404591</f>
        <v>3432599</v>
      </c>
      <c r="G537" s="25">
        <f t="shared" si="21"/>
        <v>329371419</v>
      </c>
    </row>
    <row r="538" spans="1:7" ht="31.5">
      <c r="A538" s="26" t="s">
        <v>113</v>
      </c>
      <c r="B538" s="23" t="s">
        <v>400</v>
      </c>
      <c r="C538" s="19" t="s">
        <v>406</v>
      </c>
      <c r="D538" s="19">
        <v>630</v>
      </c>
      <c r="E538" s="29">
        <v>2681990</v>
      </c>
      <c r="F538" s="29">
        <f>-1664167+10631</f>
        <v>-1653536</v>
      </c>
      <c r="G538" s="25">
        <f t="shared" si="21"/>
        <v>1028454</v>
      </c>
    </row>
    <row r="539" spans="1:7" ht="15.75">
      <c r="A539" s="26" t="s">
        <v>26</v>
      </c>
      <c r="B539" s="23" t="s">
        <v>400</v>
      </c>
      <c r="C539" s="19" t="s">
        <v>406</v>
      </c>
      <c r="D539" s="19">
        <v>800</v>
      </c>
      <c r="E539" s="29">
        <f>E540</f>
        <v>1025570</v>
      </c>
      <c r="F539" s="29">
        <f>F540</f>
        <v>1663960</v>
      </c>
      <c r="G539" s="25">
        <f t="shared" si="21"/>
        <v>2689530</v>
      </c>
    </row>
    <row r="540" spans="1:7" ht="47.25">
      <c r="A540" s="26" t="s">
        <v>207</v>
      </c>
      <c r="B540" s="23" t="s">
        <v>400</v>
      </c>
      <c r="C540" s="19" t="s">
        <v>406</v>
      </c>
      <c r="D540" s="19">
        <v>810</v>
      </c>
      <c r="E540" s="29">
        <v>1025570</v>
      </c>
      <c r="F540" s="29">
        <f>1636159+27801</f>
        <v>1663960</v>
      </c>
      <c r="G540" s="25">
        <f t="shared" si="21"/>
        <v>2689530</v>
      </c>
    </row>
    <row r="541" spans="1:7" ht="31.5">
      <c r="A541" s="46" t="s">
        <v>407</v>
      </c>
      <c r="B541" s="23" t="s">
        <v>400</v>
      </c>
      <c r="C541" s="19" t="s">
        <v>408</v>
      </c>
      <c r="D541" s="19"/>
      <c r="E541" s="24">
        <f>E542</f>
        <v>111738652</v>
      </c>
      <c r="F541" s="24">
        <f>F542</f>
        <v>0</v>
      </c>
      <c r="G541" s="25">
        <f t="shared" si="21"/>
        <v>111738652</v>
      </c>
    </row>
    <row r="542" spans="1:7" ht="31.5">
      <c r="A542" s="26" t="s">
        <v>103</v>
      </c>
      <c r="B542" s="23" t="s">
        <v>400</v>
      </c>
      <c r="C542" s="19" t="s">
        <v>408</v>
      </c>
      <c r="D542" s="19">
        <v>600</v>
      </c>
      <c r="E542" s="24">
        <f>E543</f>
        <v>111738652</v>
      </c>
      <c r="F542" s="24">
        <f>F543</f>
        <v>0</v>
      </c>
      <c r="G542" s="25">
        <f t="shared" si="21"/>
        <v>111738652</v>
      </c>
    </row>
    <row r="543" spans="1:7" ht="15.75">
      <c r="A543" s="26" t="s">
        <v>104</v>
      </c>
      <c r="B543" s="23" t="s">
        <v>400</v>
      </c>
      <c r="C543" s="19" t="s">
        <v>408</v>
      </c>
      <c r="D543" s="19">
        <v>610</v>
      </c>
      <c r="E543" s="24">
        <f>112700000-961348</f>
        <v>111738652</v>
      </c>
      <c r="F543" s="29">
        <v>0</v>
      </c>
      <c r="G543" s="25">
        <f aca="true" t="shared" si="24" ref="G543:G606">SUM(E543:F543)</f>
        <v>111738652</v>
      </c>
    </row>
    <row r="544" spans="1:7" ht="78.75">
      <c r="A544" s="58" t="s">
        <v>409</v>
      </c>
      <c r="B544" s="23" t="s">
        <v>400</v>
      </c>
      <c r="C544" s="19" t="s">
        <v>410</v>
      </c>
      <c r="D544" s="19"/>
      <c r="E544" s="24">
        <f>E545</f>
        <v>125995342</v>
      </c>
      <c r="F544" s="24">
        <f>F545</f>
        <v>0</v>
      </c>
      <c r="G544" s="25">
        <f t="shared" si="24"/>
        <v>125995342</v>
      </c>
    </row>
    <row r="545" spans="1:7" ht="31.5">
      <c r="A545" s="26" t="s">
        <v>103</v>
      </c>
      <c r="B545" s="23" t="s">
        <v>400</v>
      </c>
      <c r="C545" s="19" t="s">
        <v>410</v>
      </c>
      <c r="D545" s="19">
        <v>600</v>
      </c>
      <c r="E545" s="24">
        <f>E546</f>
        <v>125995342</v>
      </c>
      <c r="F545" s="24">
        <f>F546</f>
        <v>0</v>
      </c>
      <c r="G545" s="25">
        <f t="shared" si="24"/>
        <v>125995342</v>
      </c>
    </row>
    <row r="546" spans="1:7" ht="15.75">
      <c r="A546" s="26" t="s">
        <v>104</v>
      </c>
      <c r="B546" s="23" t="s">
        <v>400</v>
      </c>
      <c r="C546" s="19" t="s">
        <v>410</v>
      </c>
      <c r="D546" s="19">
        <v>610</v>
      </c>
      <c r="E546" s="24">
        <f>17937954+961348+107096040</f>
        <v>125995342</v>
      </c>
      <c r="F546" s="29">
        <v>0</v>
      </c>
      <c r="G546" s="25">
        <f t="shared" si="24"/>
        <v>125995342</v>
      </c>
    </row>
    <row r="547" spans="1:7" ht="31.5">
      <c r="A547" s="46" t="s">
        <v>411</v>
      </c>
      <c r="B547" s="23" t="s">
        <v>400</v>
      </c>
      <c r="C547" s="19" t="s">
        <v>412</v>
      </c>
      <c r="D547" s="19"/>
      <c r="E547" s="24">
        <f>E548</f>
        <v>15000000</v>
      </c>
      <c r="F547" s="24">
        <f>F548</f>
        <v>5647000</v>
      </c>
      <c r="G547" s="25">
        <f t="shared" si="24"/>
        <v>20647000</v>
      </c>
    </row>
    <row r="548" spans="1:7" ht="31.5">
      <c r="A548" s="26" t="s">
        <v>103</v>
      </c>
      <c r="B548" s="23" t="s">
        <v>400</v>
      </c>
      <c r="C548" s="19" t="s">
        <v>412</v>
      </c>
      <c r="D548" s="19">
        <v>600</v>
      </c>
      <c r="E548" s="24">
        <f>E549</f>
        <v>15000000</v>
      </c>
      <c r="F548" s="24">
        <f>F549</f>
        <v>5647000</v>
      </c>
      <c r="G548" s="25">
        <f t="shared" si="24"/>
        <v>20647000</v>
      </c>
    </row>
    <row r="549" spans="1:7" ht="15.75">
      <c r="A549" s="26" t="s">
        <v>104</v>
      </c>
      <c r="B549" s="23" t="s">
        <v>400</v>
      </c>
      <c r="C549" s="19" t="s">
        <v>412</v>
      </c>
      <c r="D549" s="19">
        <v>610</v>
      </c>
      <c r="E549" s="24">
        <v>15000000</v>
      </c>
      <c r="F549" s="29">
        <f>5500000+147000</f>
        <v>5647000</v>
      </c>
      <c r="G549" s="25">
        <f t="shared" si="24"/>
        <v>20647000</v>
      </c>
    </row>
    <row r="550" spans="1:7" ht="31.5">
      <c r="A550" s="46" t="s">
        <v>413</v>
      </c>
      <c r="B550" s="23" t="s">
        <v>400</v>
      </c>
      <c r="C550" s="19" t="s">
        <v>414</v>
      </c>
      <c r="D550" s="19"/>
      <c r="E550" s="24">
        <f>SUM(E551,E553,E555)</f>
        <v>26454170</v>
      </c>
      <c r="F550" s="24">
        <f>SUM(F551,F553,F555)</f>
        <v>-9004818.27</v>
      </c>
      <c r="G550" s="25">
        <f t="shared" si="24"/>
        <v>17449351.73</v>
      </c>
    </row>
    <row r="551" spans="1:7" s="13" customFormat="1" ht="31.5">
      <c r="A551" s="30" t="s">
        <v>22</v>
      </c>
      <c r="B551" s="23" t="s">
        <v>400</v>
      </c>
      <c r="C551" s="19" t="s">
        <v>414</v>
      </c>
      <c r="D551" s="19">
        <v>200</v>
      </c>
      <c r="E551" s="24">
        <f>E552</f>
        <v>7500000</v>
      </c>
      <c r="F551" s="29">
        <f>F552</f>
        <v>-7500000</v>
      </c>
      <c r="G551" s="25">
        <f t="shared" si="24"/>
        <v>0</v>
      </c>
    </row>
    <row r="552" spans="1:7" s="13" customFormat="1" ht="31.5">
      <c r="A552" s="26" t="s">
        <v>24</v>
      </c>
      <c r="B552" s="23" t="s">
        <v>400</v>
      </c>
      <c r="C552" s="19" t="s">
        <v>414</v>
      </c>
      <c r="D552" s="19">
        <v>240</v>
      </c>
      <c r="E552" s="24">
        <v>7500000</v>
      </c>
      <c r="F552" s="29">
        <f>-7500000</f>
        <v>-7500000</v>
      </c>
      <c r="G552" s="25">
        <f t="shared" si="24"/>
        <v>0</v>
      </c>
    </row>
    <row r="553" spans="1:7" ht="31.5">
      <c r="A553" s="26" t="s">
        <v>236</v>
      </c>
      <c r="B553" s="23" t="s">
        <v>400</v>
      </c>
      <c r="C553" s="19" t="s">
        <v>414</v>
      </c>
      <c r="D553" s="19">
        <v>400</v>
      </c>
      <c r="E553" s="24">
        <f>E554</f>
        <v>18954170</v>
      </c>
      <c r="F553" s="29">
        <f>F554</f>
        <v>-11143745.27</v>
      </c>
      <c r="G553" s="25">
        <f t="shared" si="24"/>
        <v>7810424.73</v>
      </c>
    </row>
    <row r="554" spans="1:7" ht="15.75">
      <c r="A554" s="26" t="s">
        <v>237</v>
      </c>
      <c r="B554" s="23" t="s">
        <v>400</v>
      </c>
      <c r="C554" s="19" t="s">
        <v>414</v>
      </c>
      <c r="D554" s="19">
        <v>410</v>
      </c>
      <c r="E554" s="24">
        <f>2954170+16000000</f>
        <v>18954170</v>
      </c>
      <c r="F554" s="29">
        <f>-9106305-972107.07-935570.77+329428-459190.43</f>
        <v>-11143745.27</v>
      </c>
      <c r="G554" s="25">
        <f t="shared" si="24"/>
        <v>7810424.73</v>
      </c>
    </row>
    <row r="555" spans="1:7" ht="31.5">
      <c r="A555" s="26" t="s">
        <v>103</v>
      </c>
      <c r="B555" s="23" t="s">
        <v>400</v>
      </c>
      <c r="C555" s="19" t="s">
        <v>414</v>
      </c>
      <c r="D555" s="19">
        <v>600</v>
      </c>
      <c r="E555" s="24">
        <f>E556</f>
        <v>0</v>
      </c>
      <c r="F555" s="29">
        <f>F556</f>
        <v>9638927</v>
      </c>
      <c r="G555" s="25">
        <f t="shared" si="24"/>
        <v>9638927</v>
      </c>
    </row>
    <row r="556" spans="1:7" ht="15.75">
      <c r="A556" s="26" t="s">
        <v>104</v>
      </c>
      <c r="B556" s="23" t="s">
        <v>400</v>
      </c>
      <c r="C556" s="19" t="s">
        <v>414</v>
      </c>
      <c r="D556" s="19">
        <v>610</v>
      </c>
      <c r="E556" s="24">
        <v>0</v>
      </c>
      <c r="F556" s="29">
        <f>10960927-820000-502000</f>
        <v>9638927</v>
      </c>
      <c r="G556" s="25">
        <f t="shared" si="24"/>
        <v>9638927</v>
      </c>
    </row>
    <row r="557" spans="1:7" s="13" customFormat="1" ht="126">
      <c r="A557" s="26" t="s">
        <v>415</v>
      </c>
      <c r="B557" s="23" t="s">
        <v>400</v>
      </c>
      <c r="C557" s="19" t="s">
        <v>416</v>
      </c>
      <c r="D557" s="19"/>
      <c r="E557" s="24">
        <f>E558</f>
        <v>29542755.56</v>
      </c>
      <c r="F557" s="24">
        <f>F558</f>
        <v>0</v>
      </c>
      <c r="G557" s="25">
        <f t="shared" si="24"/>
        <v>29542755.56</v>
      </c>
    </row>
    <row r="558" spans="1:7" s="13" customFormat="1" ht="31.5">
      <c r="A558" s="26" t="s">
        <v>236</v>
      </c>
      <c r="B558" s="23" t="s">
        <v>400</v>
      </c>
      <c r="C558" s="19" t="s">
        <v>416</v>
      </c>
      <c r="D558" s="19">
        <v>400</v>
      </c>
      <c r="E558" s="24">
        <f>E559</f>
        <v>29542755.56</v>
      </c>
      <c r="F558" s="24">
        <f>F559</f>
        <v>0</v>
      </c>
      <c r="G558" s="25">
        <f t="shared" si="24"/>
        <v>29542755.56</v>
      </c>
    </row>
    <row r="559" spans="1:7" s="13" customFormat="1" ht="15.75">
      <c r="A559" s="26" t="s">
        <v>237</v>
      </c>
      <c r="B559" s="23" t="s">
        <v>400</v>
      </c>
      <c r="C559" s="19" t="s">
        <v>416</v>
      </c>
      <c r="D559" s="19">
        <v>410</v>
      </c>
      <c r="E559" s="24">
        <f>26588480+2954275.56</f>
        <v>29542755.56</v>
      </c>
      <c r="F559" s="29">
        <v>0</v>
      </c>
      <c r="G559" s="25">
        <f t="shared" si="24"/>
        <v>29542755.56</v>
      </c>
    </row>
    <row r="560" spans="1:7" s="13" customFormat="1" ht="110.25">
      <c r="A560" s="26" t="s">
        <v>417</v>
      </c>
      <c r="B560" s="23" t="s">
        <v>400</v>
      </c>
      <c r="C560" s="19" t="s">
        <v>418</v>
      </c>
      <c r="D560" s="19"/>
      <c r="E560" s="24">
        <f>E561</f>
        <v>243217611.11</v>
      </c>
      <c r="F560" s="29">
        <f>F561</f>
        <v>-170000000</v>
      </c>
      <c r="G560" s="25">
        <f t="shared" si="24"/>
        <v>73217611.11000001</v>
      </c>
    </row>
    <row r="561" spans="1:7" s="13" customFormat="1" ht="31.5">
      <c r="A561" s="26" t="s">
        <v>236</v>
      </c>
      <c r="B561" s="23" t="s">
        <v>400</v>
      </c>
      <c r="C561" s="19" t="s">
        <v>418</v>
      </c>
      <c r="D561" s="19">
        <v>400</v>
      </c>
      <c r="E561" s="24">
        <f>E562</f>
        <v>243217611.11</v>
      </c>
      <c r="F561" s="29">
        <f>F562</f>
        <v>-170000000</v>
      </c>
      <c r="G561" s="25">
        <f t="shared" si="24"/>
        <v>73217611.11000001</v>
      </c>
    </row>
    <row r="562" spans="1:7" s="13" customFormat="1" ht="15.75">
      <c r="A562" s="26" t="s">
        <v>237</v>
      </c>
      <c r="B562" s="23" t="s">
        <v>400</v>
      </c>
      <c r="C562" s="19" t="s">
        <v>418</v>
      </c>
      <c r="D562" s="19">
        <v>410</v>
      </c>
      <c r="E562" s="24">
        <f>8614340+15707421.11+218895850</f>
        <v>243217611.11</v>
      </c>
      <c r="F562" s="29">
        <f>-49928755.56-108064120-1320000-1484280-1900000-2464294.64-4838549.8</f>
        <v>-170000000</v>
      </c>
      <c r="G562" s="25">
        <f t="shared" si="24"/>
        <v>73217611.11000001</v>
      </c>
    </row>
    <row r="563" spans="1:7" s="13" customFormat="1" ht="126">
      <c r="A563" s="58" t="s">
        <v>419</v>
      </c>
      <c r="B563" s="23" t="s">
        <v>400</v>
      </c>
      <c r="C563" s="19" t="s">
        <v>420</v>
      </c>
      <c r="D563" s="19"/>
      <c r="E563" s="24">
        <f>E564</f>
        <v>0</v>
      </c>
      <c r="F563" s="24">
        <f>F564</f>
        <v>4957170.200000002</v>
      </c>
      <c r="G563" s="25">
        <f t="shared" si="24"/>
        <v>4957170.200000002</v>
      </c>
    </row>
    <row r="564" spans="1:7" s="13" customFormat="1" ht="31.5">
      <c r="A564" s="26" t="s">
        <v>236</v>
      </c>
      <c r="B564" s="23" t="s">
        <v>400</v>
      </c>
      <c r="C564" s="19" t="s">
        <v>420</v>
      </c>
      <c r="D564" s="19">
        <v>400</v>
      </c>
      <c r="E564" s="24">
        <f>E565</f>
        <v>0</v>
      </c>
      <c r="F564" s="24">
        <f>F565</f>
        <v>4957170.200000002</v>
      </c>
      <c r="G564" s="25">
        <f t="shared" si="24"/>
        <v>4957170.200000002</v>
      </c>
    </row>
    <row r="565" spans="1:7" s="13" customFormat="1" ht="15.75">
      <c r="A565" s="26" t="s">
        <v>237</v>
      </c>
      <c r="B565" s="23" t="s">
        <v>400</v>
      </c>
      <c r="C565" s="19" t="s">
        <v>420</v>
      </c>
      <c r="D565" s="19">
        <v>410</v>
      </c>
      <c r="E565" s="24">
        <v>0</v>
      </c>
      <c r="F565" s="29">
        <f>49928755.56-44935880-35705.36</f>
        <v>4957170.200000002</v>
      </c>
      <c r="G565" s="25">
        <f t="shared" si="24"/>
        <v>4957170.200000002</v>
      </c>
    </row>
    <row r="566" spans="1:7" s="13" customFormat="1" ht="189">
      <c r="A566" s="26" t="s">
        <v>421</v>
      </c>
      <c r="B566" s="23" t="s">
        <v>400</v>
      </c>
      <c r="C566" s="19" t="s">
        <v>422</v>
      </c>
      <c r="D566" s="19"/>
      <c r="E566" s="24">
        <f>E567</f>
        <v>1370833.34</v>
      </c>
      <c r="F566" s="24">
        <f>F567</f>
        <v>-124621.22</v>
      </c>
      <c r="G566" s="25">
        <f t="shared" si="24"/>
        <v>1246212.12</v>
      </c>
    </row>
    <row r="567" spans="1:7" s="13" customFormat="1" ht="31.5">
      <c r="A567" s="30" t="s">
        <v>22</v>
      </c>
      <c r="B567" s="23" t="s">
        <v>400</v>
      </c>
      <c r="C567" s="19" t="s">
        <v>422</v>
      </c>
      <c r="D567" s="19">
        <v>200</v>
      </c>
      <c r="E567" s="24">
        <f>E568</f>
        <v>1370833.34</v>
      </c>
      <c r="F567" s="24">
        <f>F568</f>
        <v>-124621.22</v>
      </c>
      <c r="G567" s="25">
        <f t="shared" si="24"/>
        <v>1246212.12</v>
      </c>
    </row>
    <row r="568" spans="1:7" s="13" customFormat="1" ht="31.5">
      <c r="A568" s="30" t="s">
        <v>24</v>
      </c>
      <c r="B568" s="23" t="s">
        <v>400</v>
      </c>
      <c r="C568" s="19" t="s">
        <v>422</v>
      </c>
      <c r="D568" s="19">
        <v>240</v>
      </c>
      <c r="E568" s="24">
        <f>1233750+137083.34</f>
        <v>1370833.34</v>
      </c>
      <c r="F568" s="29">
        <v>-124621.22</v>
      </c>
      <c r="G568" s="25">
        <f t="shared" si="24"/>
        <v>1246212.12</v>
      </c>
    </row>
    <row r="569" spans="1:7" s="13" customFormat="1" ht="31.5">
      <c r="A569" s="26" t="s">
        <v>105</v>
      </c>
      <c r="B569" s="23" t="s">
        <v>400</v>
      </c>
      <c r="C569" s="19" t="s">
        <v>106</v>
      </c>
      <c r="D569" s="19"/>
      <c r="E569" s="24">
        <f>SUM(E570)</f>
        <v>800000</v>
      </c>
      <c r="F569" s="24">
        <f>SUM(F570)</f>
        <v>0</v>
      </c>
      <c r="G569" s="25">
        <f t="shared" si="24"/>
        <v>800000</v>
      </c>
    </row>
    <row r="570" spans="1:7" s="13" customFormat="1" ht="47.25">
      <c r="A570" s="46" t="s">
        <v>107</v>
      </c>
      <c r="B570" s="23" t="s">
        <v>400</v>
      </c>
      <c r="C570" s="19" t="s">
        <v>108</v>
      </c>
      <c r="D570" s="19"/>
      <c r="E570" s="24">
        <f aca="true" t="shared" si="25" ref="E570:F572">E571</f>
        <v>800000</v>
      </c>
      <c r="F570" s="24">
        <f t="shared" si="25"/>
        <v>0</v>
      </c>
      <c r="G570" s="25">
        <f t="shared" si="24"/>
        <v>800000</v>
      </c>
    </row>
    <row r="571" spans="1:7" s="13" customFormat="1" ht="31.5">
      <c r="A571" s="46" t="s">
        <v>423</v>
      </c>
      <c r="B571" s="23" t="s">
        <v>400</v>
      </c>
      <c r="C571" s="19" t="s">
        <v>424</v>
      </c>
      <c r="D571" s="19"/>
      <c r="E571" s="24">
        <f t="shared" si="25"/>
        <v>800000</v>
      </c>
      <c r="F571" s="24">
        <f t="shared" si="25"/>
        <v>0</v>
      </c>
      <c r="G571" s="25">
        <f t="shared" si="24"/>
        <v>800000</v>
      </c>
    </row>
    <row r="572" spans="1:7" s="13" customFormat="1" ht="31.5">
      <c r="A572" s="26" t="s">
        <v>103</v>
      </c>
      <c r="B572" s="23" t="s">
        <v>400</v>
      </c>
      <c r="C572" s="19" t="s">
        <v>424</v>
      </c>
      <c r="D572" s="19">
        <v>600</v>
      </c>
      <c r="E572" s="24">
        <f t="shared" si="25"/>
        <v>800000</v>
      </c>
      <c r="F572" s="24">
        <f t="shared" si="25"/>
        <v>0</v>
      </c>
      <c r="G572" s="25">
        <f t="shared" si="24"/>
        <v>800000</v>
      </c>
    </row>
    <row r="573" spans="1:7" s="13" customFormat="1" ht="15.75">
      <c r="A573" s="26" t="s">
        <v>104</v>
      </c>
      <c r="B573" s="23" t="s">
        <v>400</v>
      </c>
      <c r="C573" s="19" t="s">
        <v>424</v>
      </c>
      <c r="D573" s="19">
        <v>610</v>
      </c>
      <c r="E573" s="29">
        <v>800000</v>
      </c>
      <c r="F573" s="29">
        <v>0</v>
      </c>
      <c r="G573" s="25">
        <f t="shared" si="24"/>
        <v>800000</v>
      </c>
    </row>
    <row r="574" spans="1:7" s="13" customFormat="1" ht="15.75">
      <c r="A574" s="17" t="s">
        <v>425</v>
      </c>
      <c r="B574" s="18" t="s">
        <v>426</v>
      </c>
      <c r="C574" s="19"/>
      <c r="D574" s="19"/>
      <c r="E574" s="20">
        <f>E575</f>
        <v>2755887006.5699997</v>
      </c>
      <c r="F574" s="20">
        <f>F575</f>
        <v>-692852486.37</v>
      </c>
      <c r="G574" s="21">
        <f t="shared" si="24"/>
        <v>2063034520.1999998</v>
      </c>
    </row>
    <row r="575" spans="1:7" s="13" customFormat="1" ht="31.5">
      <c r="A575" s="26" t="s">
        <v>401</v>
      </c>
      <c r="B575" s="23" t="s">
        <v>426</v>
      </c>
      <c r="C575" s="19" t="s">
        <v>402</v>
      </c>
      <c r="D575" s="19"/>
      <c r="E575" s="24">
        <f>E576+E608+E616</f>
        <v>2755887006.5699997</v>
      </c>
      <c r="F575" s="24">
        <f>F576+F608+F616</f>
        <v>-692852486.37</v>
      </c>
      <c r="G575" s="25">
        <f t="shared" si="24"/>
        <v>2063034520.1999998</v>
      </c>
    </row>
    <row r="576" spans="1:7" s="13" customFormat="1" ht="31.5">
      <c r="A576" s="46" t="s">
        <v>427</v>
      </c>
      <c r="B576" s="23" t="s">
        <v>426</v>
      </c>
      <c r="C576" s="19" t="s">
        <v>428</v>
      </c>
      <c r="D576" s="19"/>
      <c r="E576" s="24">
        <f>SUM(E577,E581,E587,E593,E596,E599,E602,E605,E584,E590)</f>
        <v>2637080230.5699997</v>
      </c>
      <c r="F576" s="24">
        <f>SUM(F577,F581,F587,F593,F596,F599,F602,F605,F584,F590)</f>
        <v>-716858122.77</v>
      </c>
      <c r="G576" s="25">
        <f t="shared" si="24"/>
        <v>1920222107.7999997</v>
      </c>
    </row>
    <row r="577" spans="1:7" s="13" customFormat="1" ht="31.5">
      <c r="A577" s="46" t="s">
        <v>429</v>
      </c>
      <c r="B577" s="23" t="s">
        <v>426</v>
      </c>
      <c r="C577" s="19" t="s">
        <v>430</v>
      </c>
      <c r="D577" s="19"/>
      <c r="E577" s="24">
        <f>E578</f>
        <v>644854480</v>
      </c>
      <c r="F577" s="24">
        <f>F578</f>
        <v>25962875</v>
      </c>
      <c r="G577" s="25">
        <f t="shared" si="24"/>
        <v>670817355</v>
      </c>
    </row>
    <row r="578" spans="1:7" s="13" customFormat="1" ht="31.5">
      <c r="A578" s="26" t="s">
        <v>103</v>
      </c>
      <c r="B578" s="23" t="s">
        <v>426</v>
      </c>
      <c r="C578" s="19" t="s">
        <v>430</v>
      </c>
      <c r="D578" s="19">
        <v>600</v>
      </c>
      <c r="E578" s="24">
        <f>E579+E580</f>
        <v>644854480</v>
      </c>
      <c r="F578" s="24">
        <f>F579+F580</f>
        <v>25962875</v>
      </c>
      <c r="G578" s="25">
        <f t="shared" si="24"/>
        <v>670817355</v>
      </c>
    </row>
    <row r="579" spans="1:7" s="13" customFormat="1" ht="15.75">
      <c r="A579" s="26" t="s">
        <v>104</v>
      </c>
      <c r="B579" s="23" t="s">
        <v>426</v>
      </c>
      <c r="C579" s="19" t="s">
        <v>430</v>
      </c>
      <c r="D579" s="19">
        <v>610</v>
      </c>
      <c r="E579" s="29">
        <v>614560277</v>
      </c>
      <c r="F579" s="29">
        <f>2179907+24830949</f>
        <v>27010856</v>
      </c>
      <c r="G579" s="25">
        <f t="shared" si="24"/>
        <v>641571133</v>
      </c>
    </row>
    <row r="580" spans="1:7" s="13" customFormat="1" ht="31.5">
      <c r="A580" s="26" t="s">
        <v>113</v>
      </c>
      <c r="B580" s="23" t="s">
        <v>426</v>
      </c>
      <c r="C580" s="19" t="s">
        <v>430</v>
      </c>
      <c r="D580" s="19">
        <v>630</v>
      </c>
      <c r="E580" s="29">
        <v>30294203</v>
      </c>
      <c r="F580" s="29">
        <f>-2179907+1131926</f>
        <v>-1047981</v>
      </c>
      <c r="G580" s="25">
        <f t="shared" si="24"/>
        <v>29246222</v>
      </c>
    </row>
    <row r="581" spans="1:7" s="13" customFormat="1" ht="47.25">
      <c r="A581" s="46" t="s">
        <v>431</v>
      </c>
      <c r="B581" s="23" t="s">
        <v>426</v>
      </c>
      <c r="C581" s="19" t="s">
        <v>432</v>
      </c>
      <c r="D581" s="19"/>
      <c r="E581" s="29">
        <f>E582</f>
        <v>2174470</v>
      </c>
      <c r="F581" s="29">
        <f>F582</f>
        <v>0</v>
      </c>
      <c r="G581" s="25">
        <f t="shared" si="24"/>
        <v>2174470</v>
      </c>
    </row>
    <row r="582" spans="1:7" s="13" customFormat="1" ht="31.5">
      <c r="A582" s="26" t="s">
        <v>103</v>
      </c>
      <c r="B582" s="23" t="s">
        <v>426</v>
      </c>
      <c r="C582" s="19" t="s">
        <v>432</v>
      </c>
      <c r="D582" s="19">
        <v>600</v>
      </c>
      <c r="E582" s="29">
        <f>E583</f>
        <v>2174470</v>
      </c>
      <c r="F582" s="29">
        <f>F583</f>
        <v>0</v>
      </c>
      <c r="G582" s="25">
        <f t="shared" si="24"/>
        <v>2174470</v>
      </c>
    </row>
    <row r="583" spans="1:7" s="13" customFormat="1" ht="15.75">
      <c r="A583" s="26" t="s">
        <v>104</v>
      </c>
      <c r="B583" s="23" t="s">
        <v>426</v>
      </c>
      <c r="C583" s="19" t="s">
        <v>432</v>
      </c>
      <c r="D583" s="19">
        <v>610</v>
      </c>
      <c r="E583" s="29">
        <v>2174470</v>
      </c>
      <c r="F583" s="29">
        <v>0</v>
      </c>
      <c r="G583" s="25">
        <f t="shared" si="24"/>
        <v>2174470</v>
      </c>
    </row>
    <row r="584" spans="1:7" s="13" customFormat="1" ht="31.5">
      <c r="A584" s="46" t="s">
        <v>433</v>
      </c>
      <c r="B584" s="23" t="s">
        <v>426</v>
      </c>
      <c r="C584" s="19" t="s">
        <v>434</v>
      </c>
      <c r="D584" s="19"/>
      <c r="E584" s="24">
        <f>E585</f>
        <v>173200000</v>
      </c>
      <c r="F584" s="24">
        <f>F585</f>
        <v>0</v>
      </c>
      <c r="G584" s="25">
        <f t="shared" si="24"/>
        <v>173200000</v>
      </c>
    </row>
    <row r="585" spans="1:7" s="13" customFormat="1" ht="31.5">
      <c r="A585" s="26" t="s">
        <v>103</v>
      </c>
      <c r="B585" s="23" t="s">
        <v>426</v>
      </c>
      <c r="C585" s="19" t="s">
        <v>434</v>
      </c>
      <c r="D585" s="19">
        <v>600</v>
      </c>
      <c r="E585" s="24">
        <f>E586</f>
        <v>173200000</v>
      </c>
      <c r="F585" s="24">
        <f>F586</f>
        <v>0</v>
      </c>
      <c r="G585" s="25">
        <f t="shared" si="24"/>
        <v>173200000</v>
      </c>
    </row>
    <row r="586" spans="1:7" s="13" customFormat="1" ht="15.75">
      <c r="A586" s="26" t="s">
        <v>104</v>
      </c>
      <c r="B586" s="23" t="s">
        <v>426</v>
      </c>
      <c r="C586" s="19" t="s">
        <v>434</v>
      </c>
      <c r="D586" s="19">
        <v>610</v>
      </c>
      <c r="E586" s="24">
        <f>175200000-2000000</f>
        <v>173200000</v>
      </c>
      <c r="F586" s="29">
        <v>0</v>
      </c>
      <c r="G586" s="25">
        <f t="shared" si="24"/>
        <v>173200000</v>
      </c>
    </row>
    <row r="587" spans="1:7" s="13" customFormat="1" ht="31.5">
      <c r="A587" s="46" t="s">
        <v>435</v>
      </c>
      <c r="B587" s="23" t="s">
        <v>426</v>
      </c>
      <c r="C587" s="19" t="s">
        <v>436</v>
      </c>
      <c r="D587" s="19"/>
      <c r="E587" s="24">
        <f>E588</f>
        <v>10087171.04</v>
      </c>
      <c r="F587" s="24">
        <f>F588</f>
        <v>5556621.12</v>
      </c>
      <c r="G587" s="25">
        <f t="shared" si="24"/>
        <v>15643792.16</v>
      </c>
    </row>
    <row r="588" spans="1:7" s="13" customFormat="1" ht="31.5">
      <c r="A588" s="26" t="s">
        <v>103</v>
      </c>
      <c r="B588" s="23" t="s">
        <v>426</v>
      </c>
      <c r="C588" s="19" t="s">
        <v>436</v>
      </c>
      <c r="D588" s="19">
        <v>600</v>
      </c>
      <c r="E588" s="24">
        <f>E589</f>
        <v>10087171.04</v>
      </c>
      <c r="F588" s="24">
        <f>F589</f>
        <v>5556621.12</v>
      </c>
      <c r="G588" s="25">
        <f t="shared" si="24"/>
        <v>15643792.16</v>
      </c>
    </row>
    <row r="589" spans="1:7" s="13" customFormat="1" ht="15.75">
      <c r="A589" s="26" t="s">
        <v>104</v>
      </c>
      <c r="B589" s="23" t="s">
        <v>426</v>
      </c>
      <c r="C589" s="19" t="s">
        <v>436</v>
      </c>
      <c r="D589" s="19">
        <v>610</v>
      </c>
      <c r="E589" s="24">
        <f>10000000-2918421.06-5263157.9+8268750</f>
        <v>10087171.04</v>
      </c>
      <c r="F589" s="29">
        <f>124621.12+3000000+2030000+200000+202000</f>
        <v>5556621.12</v>
      </c>
      <c r="G589" s="25">
        <f t="shared" si="24"/>
        <v>15643792.16</v>
      </c>
    </row>
    <row r="590" spans="1:7" s="13" customFormat="1" ht="63">
      <c r="A590" s="26" t="s">
        <v>437</v>
      </c>
      <c r="B590" s="23" t="s">
        <v>426</v>
      </c>
      <c r="C590" s="19" t="s">
        <v>438</v>
      </c>
      <c r="D590" s="19"/>
      <c r="E590" s="24">
        <f>E591</f>
        <v>0</v>
      </c>
      <c r="F590" s="29">
        <f>F591</f>
        <v>11500000</v>
      </c>
      <c r="G590" s="25">
        <f t="shared" si="24"/>
        <v>11500000</v>
      </c>
    </row>
    <row r="591" spans="1:7" s="13" customFormat="1" ht="31.5">
      <c r="A591" s="26" t="s">
        <v>103</v>
      </c>
      <c r="B591" s="23" t="s">
        <v>426</v>
      </c>
      <c r="C591" s="19" t="s">
        <v>438</v>
      </c>
      <c r="D591" s="19">
        <v>600</v>
      </c>
      <c r="E591" s="24">
        <f>E592</f>
        <v>0</v>
      </c>
      <c r="F591" s="29">
        <f>F592</f>
        <v>11500000</v>
      </c>
      <c r="G591" s="25">
        <f t="shared" si="24"/>
        <v>11500000</v>
      </c>
    </row>
    <row r="592" spans="1:7" s="13" customFormat="1" ht="15.75">
      <c r="A592" s="26" t="s">
        <v>104</v>
      </c>
      <c r="B592" s="23" t="s">
        <v>426</v>
      </c>
      <c r="C592" s="19" t="s">
        <v>438</v>
      </c>
      <c r="D592" s="19">
        <v>610</v>
      </c>
      <c r="E592" s="24">
        <v>0</v>
      </c>
      <c r="F592" s="29">
        <v>11500000</v>
      </c>
      <c r="G592" s="25">
        <f t="shared" si="24"/>
        <v>11500000</v>
      </c>
    </row>
    <row r="593" spans="1:7" s="13" customFormat="1" ht="47.25">
      <c r="A593" s="26" t="s">
        <v>439</v>
      </c>
      <c r="B593" s="23" t="s">
        <v>426</v>
      </c>
      <c r="C593" s="19" t="s">
        <v>440</v>
      </c>
      <c r="D593" s="19"/>
      <c r="E593" s="24">
        <f>E594</f>
        <v>0</v>
      </c>
      <c r="F593" s="24">
        <f>F594</f>
        <v>13202280</v>
      </c>
      <c r="G593" s="25">
        <f t="shared" si="24"/>
        <v>13202280</v>
      </c>
    </row>
    <row r="594" spans="1:7" s="13" customFormat="1" ht="31.5">
      <c r="A594" s="26" t="s">
        <v>103</v>
      </c>
      <c r="B594" s="23" t="s">
        <v>426</v>
      </c>
      <c r="C594" s="19" t="s">
        <v>440</v>
      </c>
      <c r="D594" s="19">
        <v>600</v>
      </c>
      <c r="E594" s="24">
        <f>E595</f>
        <v>0</v>
      </c>
      <c r="F594" s="24">
        <f>F595</f>
        <v>13202280</v>
      </c>
      <c r="G594" s="25">
        <f t="shared" si="24"/>
        <v>13202280</v>
      </c>
    </row>
    <row r="595" spans="1:7" s="13" customFormat="1" ht="15.75">
      <c r="A595" s="26" t="s">
        <v>104</v>
      </c>
      <c r="B595" s="23" t="s">
        <v>426</v>
      </c>
      <c r="C595" s="19" t="s">
        <v>440</v>
      </c>
      <c r="D595" s="19">
        <v>610</v>
      </c>
      <c r="E595" s="24"/>
      <c r="F595" s="29">
        <v>13202280</v>
      </c>
      <c r="G595" s="25">
        <f t="shared" si="24"/>
        <v>13202280</v>
      </c>
    </row>
    <row r="596" spans="1:7" s="13" customFormat="1" ht="78.75">
      <c r="A596" s="46" t="s">
        <v>441</v>
      </c>
      <c r="B596" s="23" t="s">
        <v>426</v>
      </c>
      <c r="C596" s="19" t="s">
        <v>442</v>
      </c>
      <c r="D596" s="19"/>
      <c r="E596" s="24">
        <f>E597</f>
        <v>11500000</v>
      </c>
      <c r="F596" s="29">
        <f>F597</f>
        <v>-11500000</v>
      </c>
      <c r="G596" s="25">
        <f t="shared" si="24"/>
        <v>0</v>
      </c>
    </row>
    <row r="597" spans="1:7" s="13" customFormat="1" ht="31.5">
      <c r="A597" s="26" t="s">
        <v>103</v>
      </c>
      <c r="B597" s="23" t="s">
        <v>426</v>
      </c>
      <c r="C597" s="19" t="s">
        <v>442</v>
      </c>
      <c r="D597" s="19">
        <v>600</v>
      </c>
      <c r="E597" s="24">
        <f>E598</f>
        <v>11500000</v>
      </c>
      <c r="F597" s="29">
        <f>F598</f>
        <v>-11500000</v>
      </c>
      <c r="G597" s="25">
        <f t="shared" si="24"/>
        <v>0</v>
      </c>
    </row>
    <row r="598" spans="1:7" s="13" customFormat="1" ht="15.75">
      <c r="A598" s="26" t="s">
        <v>104</v>
      </c>
      <c r="B598" s="23" t="s">
        <v>426</v>
      </c>
      <c r="C598" s="19" t="s">
        <v>442</v>
      </c>
      <c r="D598" s="19">
        <v>610</v>
      </c>
      <c r="E598" s="24">
        <f>10925000+575000</f>
        <v>11500000</v>
      </c>
      <c r="F598" s="29">
        <v>-11500000</v>
      </c>
      <c r="G598" s="25">
        <f t="shared" si="24"/>
        <v>0</v>
      </c>
    </row>
    <row r="599" spans="1:7" s="13" customFormat="1" ht="78.75">
      <c r="A599" s="46" t="s">
        <v>443</v>
      </c>
      <c r="B599" s="23" t="s">
        <v>426</v>
      </c>
      <c r="C599" s="19" t="s">
        <v>444</v>
      </c>
      <c r="D599" s="19"/>
      <c r="E599" s="24">
        <f>E600</f>
        <v>105263157.9</v>
      </c>
      <c r="F599" s="24">
        <f>F600</f>
        <v>0.1</v>
      </c>
      <c r="G599" s="25">
        <f t="shared" si="24"/>
        <v>105263158</v>
      </c>
    </row>
    <row r="600" spans="1:7" s="13" customFormat="1" ht="31.5">
      <c r="A600" s="26" t="s">
        <v>103</v>
      </c>
      <c r="B600" s="23" t="s">
        <v>426</v>
      </c>
      <c r="C600" s="19" t="s">
        <v>444</v>
      </c>
      <c r="D600" s="19">
        <v>600</v>
      </c>
      <c r="E600" s="24">
        <f>E601</f>
        <v>105263157.9</v>
      </c>
      <c r="F600" s="24">
        <f>F601</f>
        <v>0.1</v>
      </c>
      <c r="G600" s="25">
        <f t="shared" si="24"/>
        <v>105263158</v>
      </c>
    </row>
    <row r="601" spans="1:7" s="13" customFormat="1" ht="15.75">
      <c r="A601" s="26" t="s">
        <v>104</v>
      </c>
      <c r="B601" s="23" t="s">
        <v>426</v>
      </c>
      <c r="C601" s="19" t="s">
        <v>444</v>
      </c>
      <c r="D601" s="19">
        <v>610</v>
      </c>
      <c r="E601" s="24">
        <f>100000000+5263157.9</f>
        <v>105263157.9</v>
      </c>
      <c r="F601" s="29">
        <v>0.1</v>
      </c>
      <c r="G601" s="25">
        <f t="shared" si="24"/>
        <v>105263158</v>
      </c>
    </row>
    <row r="602" spans="1:7" s="13" customFormat="1" ht="63">
      <c r="A602" s="64" t="s">
        <v>445</v>
      </c>
      <c r="B602" s="37" t="s">
        <v>426</v>
      </c>
      <c r="C602" s="36" t="s">
        <v>446</v>
      </c>
      <c r="D602" s="36"/>
      <c r="E602" s="38">
        <f>E603</f>
        <v>928421052.64</v>
      </c>
      <c r="F602" s="38">
        <f>F603</f>
        <v>0</v>
      </c>
      <c r="G602" s="25">
        <f t="shared" si="24"/>
        <v>928421052.64</v>
      </c>
    </row>
    <row r="603" spans="1:7" s="13" customFormat="1" ht="31.5">
      <c r="A603" s="26" t="s">
        <v>236</v>
      </c>
      <c r="B603" s="23" t="s">
        <v>426</v>
      </c>
      <c r="C603" s="19" t="s">
        <v>446</v>
      </c>
      <c r="D603" s="19">
        <v>400</v>
      </c>
      <c r="E603" s="24">
        <f>E604</f>
        <v>928421052.64</v>
      </c>
      <c r="F603" s="24">
        <f>F604</f>
        <v>0</v>
      </c>
      <c r="G603" s="25">
        <f t="shared" si="24"/>
        <v>928421052.64</v>
      </c>
    </row>
    <row r="604" spans="1:7" s="13" customFormat="1" ht="15.75">
      <c r="A604" s="26" t="s">
        <v>237</v>
      </c>
      <c r="B604" s="23" t="s">
        <v>426</v>
      </c>
      <c r="C604" s="19" t="s">
        <v>446</v>
      </c>
      <c r="D604" s="19">
        <v>410</v>
      </c>
      <c r="E604" s="24">
        <f>882000000+46421052.64</f>
        <v>928421052.64</v>
      </c>
      <c r="F604" s="29">
        <v>0</v>
      </c>
      <c r="G604" s="25">
        <f t="shared" si="24"/>
        <v>928421052.64</v>
      </c>
    </row>
    <row r="605" spans="1:7" s="13" customFormat="1" ht="78.75">
      <c r="A605" s="26" t="s">
        <v>447</v>
      </c>
      <c r="B605" s="23" t="s">
        <v>426</v>
      </c>
      <c r="C605" s="19" t="s">
        <v>448</v>
      </c>
      <c r="D605" s="19"/>
      <c r="E605" s="24">
        <f>E606</f>
        <v>761579898.99</v>
      </c>
      <c r="F605" s="24">
        <f>F606</f>
        <v>-761579898.99</v>
      </c>
      <c r="G605" s="25">
        <f t="shared" si="24"/>
        <v>0</v>
      </c>
    </row>
    <row r="606" spans="1:7" s="13" customFormat="1" ht="31.5">
      <c r="A606" s="26" t="s">
        <v>236</v>
      </c>
      <c r="B606" s="23" t="s">
        <v>426</v>
      </c>
      <c r="C606" s="19" t="s">
        <v>448</v>
      </c>
      <c r="D606" s="19">
        <v>400</v>
      </c>
      <c r="E606" s="24">
        <f>E607</f>
        <v>761579898.99</v>
      </c>
      <c r="F606" s="24">
        <f>F607</f>
        <v>-761579898.99</v>
      </c>
      <c r="G606" s="25">
        <f t="shared" si="24"/>
        <v>0</v>
      </c>
    </row>
    <row r="607" spans="1:7" s="13" customFormat="1" ht="15.75">
      <c r="A607" s="53" t="s">
        <v>237</v>
      </c>
      <c r="B607" s="55" t="s">
        <v>426</v>
      </c>
      <c r="C607" s="56" t="s">
        <v>448</v>
      </c>
      <c r="D607" s="56">
        <v>410</v>
      </c>
      <c r="E607" s="57">
        <f>753964100+7615798.99</f>
        <v>761579898.99</v>
      </c>
      <c r="F607" s="29">
        <f>-7615798.99-753964100</f>
        <v>-761579898.99</v>
      </c>
      <c r="G607" s="25">
        <f aca="true" t="shared" si="26" ref="G607:G670">SUM(E607:F607)</f>
        <v>0</v>
      </c>
    </row>
    <row r="608" spans="1:7" s="13" customFormat="1" ht="47.25">
      <c r="A608" s="26" t="s">
        <v>449</v>
      </c>
      <c r="B608" s="23" t="s">
        <v>426</v>
      </c>
      <c r="C608" s="19" t="s">
        <v>450</v>
      </c>
      <c r="D608" s="19"/>
      <c r="E608" s="24">
        <f>E609+E613</f>
        <v>42500000</v>
      </c>
      <c r="F608" s="24">
        <f>F609+F613</f>
        <v>24005636</v>
      </c>
      <c r="G608" s="25">
        <f t="shared" si="26"/>
        <v>66505636</v>
      </c>
    </row>
    <row r="609" spans="1:7" s="13" customFormat="1" ht="47.25">
      <c r="A609" s="26" t="s">
        <v>451</v>
      </c>
      <c r="B609" s="23" t="s">
        <v>426</v>
      </c>
      <c r="C609" s="19" t="s">
        <v>452</v>
      </c>
      <c r="D609" s="19"/>
      <c r="E609" s="24">
        <f>E610</f>
        <v>42500000</v>
      </c>
      <c r="F609" s="24">
        <f>F610</f>
        <v>-5878454</v>
      </c>
      <c r="G609" s="25">
        <f t="shared" si="26"/>
        <v>36621546</v>
      </c>
    </row>
    <row r="610" spans="1:7" s="13" customFormat="1" ht="31.5">
      <c r="A610" s="26" t="s">
        <v>103</v>
      </c>
      <c r="B610" s="23" t="s">
        <v>426</v>
      </c>
      <c r="C610" s="19" t="s">
        <v>452</v>
      </c>
      <c r="D610" s="19">
        <v>600</v>
      </c>
      <c r="E610" s="24">
        <f>SUM(E611:E612)</f>
        <v>42500000</v>
      </c>
      <c r="F610" s="24">
        <f>SUM(F611:F612)</f>
        <v>-5878454</v>
      </c>
      <c r="G610" s="25">
        <f t="shared" si="26"/>
        <v>36621546</v>
      </c>
    </row>
    <row r="611" spans="1:7" s="13" customFormat="1" ht="15.75">
      <c r="A611" s="26" t="s">
        <v>104</v>
      </c>
      <c r="B611" s="23" t="s">
        <v>426</v>
      </c>
      <c r="C611" s="19" t="s">
        <v>452</v>
      </c>
      <c r="D611" s="19">
        <v>610</v>
      </c>
      <c r="E611" s="24">
        <f>48700000-7500000</f>
        <v>41200000</v>
      </c>
      <c r="F611" s="29">
        <f>-4781454-750000-347000</f>
        <v>-5878454</v>
      </c>
      <c r="G611" s="25">
        <f t="shared" si="26"/>
        <v>35321546</v>
      </c>
    </row>
    <row r="612" spans="1:7" s="13" customFormat="1" ht="31.5">
      <c r="A612" s="26" t="s">
        <v>113</v>
      </c>
      <c r="B612" s="23" t="s">
        <v>426</v>
      </c>
      <c r="C612" s="19" t="s">
        <v>452</v>
      </c>
      <c r="D612" s="19">
        <v>630</v>
      </c>
      <c r="E612" s="24">
        <v>1300000</v>
      </c>
      <c r="F612" s="29">
        <v>0</v>
      </c>
      <c r="G612" s="25">
        <f t="shared" si="26"/>
        <v>1300000</v>
      </c>
    </row>
    <row r="613" spans="1:7" s="13" customFormat="1" ht="15.75">
      <c r="A613" s="26"/>
      <c r="B613" s="23" t="s">
        <v>426</v>
      </c>
      <c r="C613" s="19" t="s">
        <v>453</v>
      </c>
      <c r="D613" s="19"/>
      <c r="E613" s="24">
        <f>E614</f>
        <v>0</v>
      </c>
      <c r="F613" s="24">
        <f>F614</f>
        <v>29884090</v>
      </c>
      <c r="G613" s="25">
        <f t="shared" si="26"/>
        <v>29884090</v>
      </c>
    </row>
    <row r="614" spans="1:7" s="13" customFormat="1" ht="31.5">
      <c r="A614" s="26" t="s">
        <v>103</v>
      </c>
      <c r="B614" s="23" t="s">
        <v>426</v>
      </c>
      <c r="C614" s="19" t="s">
        <v>453</v>
      </c>
      <c r="D614" s="19">
        <v>600</v>
      </c>
      <c r="E614" s="24">
        <f>E615</f>
        <v>0</v>
      </c>
      <c r="F614" s="24">
        <f>F615</f>
        <v>29884090</v>
      </c>
      <c r="G614" s="25">
        <f t="shared" si="26"/>
        <v>29884090</v>
      </c>
    </row>
    <row r="615" spans="1:7" s="13" customFormat="1" ht="15.75">
      <c r="A615" s="26" t="s">
        <v>104</v>
      </c>
      <c r="B615" s="23" t="s">
        <v>426</v>
      </c>
      <c r="C615" s="19" t="s">
        <v>453</v>
      </c>
      <c r="D615" s="19">
        <v>610</v>
      </c>
      <c r="E615" s="24">
        <v>0</v>
      </c>
      <c r="F615" s="24">
        <v>29884090</v>
      </c>
      <c r="G615" s="25">
        <f t="shared" si="26"/>
        <v>29884090</v>
      </c>
    </row>
    <row r="616" spans="1:7" s="13" customFormat="1" ht="31.5">
      <c r="A616" s="46" t="s">
        <v>454</v>
      </c>
      <c r="B616" s="23" t="s">
        <v>426</v>
      </c>
      <c r="C616" s="19" t="s">
        <v>455</v>
      </c>
      <c r="D616" s="19"/>
      <c r="E616" s="24">
        <f>E618+E620</f>
        <v>76306776</v>
      </c>
      <c r="F616" s="24">
        <f>F618+F620</f>
        <v>0.4000000059604645</v>
      </c>
      <c r="G616" s="25">
        <f t="shared" si="26"/>
        <v>76306776.4</v>
      </c>
    </row>
    <row r="617" spans="1:7" s="13" customFormat="1" ht="31.5">
      <c r="A617" s="46" t="s">
        <v>456</v>
      </c>
      <c r="B617" s="23" t="s">
        <v>426</v>
      </c>
      <c r="C617" s="19" t="s">
        <v>457</v>
      </c>
      <c r="D617" s="19"/>
      <c r="E617" s="24">
        <f>E618+E620</f>
        <v>76306776</v>
      </c>
      <c r="F617" s="24">
        <f>F618+F620</f>
        <v>0.4000000059604645</v>
      </c>
      <c r="G617" s="25">
        <f t="shared" si="26"/>
        <v>76306776.4</v>
      </c>
    </row>
    <row r="618" spans="1:7" s="13" customFormat="1" ht="31.5">
      <c r="A618" s="30" t="s">
        <v>22</v>
      </c>
      <c r="B618" s="23" t="s">
        <v>426</v>
      </c>
      <c r="C618" s="19" t="s">
        <v>457</v>
      </c>
      <c r="D618" s="19">
        <v>200</v>
      </c>
      <c r="E618" s="24">
        <f>E619</f>
        <v>76306776</v>
      </c>
      <c r="F618" s="24">
        <f>F619</f>
        <v>-76306776</v>
      </c>
      <c r="G618" s="25">
        <f t="shared" si="26"/>
        <v>0</v>
      </c>
    </row>
    <row r="619" spans="1:7" s="13" customFormat="1" ht="31.5">
      <c r="A619" s="30" t="s">
        <v>24</v>
      </c>
      <c r="B619" s="23" t="s">
        <v>426</v>
      </c>
      <c r="C619" s="19" t="s">
        <v>457</v>
      </c>
      <c r="D619" s="19">
        <v>240</v>
      </c>
      <c r="E619" s="24">
        <f>3843008+72463768</f>
        <v>76306776</v>
      </c>
      <c r="F619" s="29">
        <f>0.4-76306776.4</f>
        <v>-76306776</v>
      </c>
      <c r="G619" s="25">
        <f t="shared" si="26"/>
        <v>0</v>
      </c>
    </row>
    <row r="620" spans="1:7" s="13" customFormat="1" ht="15.75">
      <c r="A620" s="26" t="s">
        <v>26</v>
      </c>
      <c r="B620" s="23" t="s">
        <v>426</v>
      </c>
      <c r="C620" s="19" t="s">
        <v>457</v>
      </c>
      <c r="D620" s="19">
        <v>800</v>
      </c>
      <c r="E620" s="24">
        <f>E621</f>
        <v>0</v>
      </c>
      <c r="F620" s="29">
        <f>F621</f>
        <v>76306776.4</v>
      </c>
      <c r="G620" s="25">
        <f t="shared" si="26"/>
        <v>76306776.4</v>
      </c>
    </row>
    <row r="621" spans="1:7" s="13" customFormat="1" ht="47.25">
      <c r="A621" s="26" t="s">
        <v>207</v>
      </c>
      <c r="B621" s="23" t="s">
        <v>426</v>
      </c>
      <c r="C621" s="19" t="s">
        <v>457</v>
      </c>
      <c r="D621" s="19">
        <v>810</v>
      </c>
      <c r="E621" s="24">
        <v>0</v>
      </c>
      <c r="F621" s="29">
        <v>76306776.4</v>
      </c>
      <c r="G621" s="25">
        <f t="shared" si="26"/>
        <v>76306776.4</v>
      </c>
    </row>
    <row r="622" spans="1:7" s="13" customFormat="1" ht="15.75">
      <c r="A622" s="61" t="s">
        <v>458</v>
      </c>
      <c r="B622" s="18" t="s">
        <v>459</v>
      </c>
      <c r="C622" s="34"/>
      <c r="D622" s="34"/>
      <c r="E622" s="20">
        <f>E623+E648</f>
        <v>278835222.07</v>
      </c>
      <c r="F622" s="20">
        <f>F623+F648</f>
        <v>49149794.339999996</v>
      </c>
      <c r="G622" s="21">
        <f t="shared" si="26"/>
        <v>327985016.40999997</v>
      </c>
    </row>
    <row r="623" spans="1:7" s="13" customFormat="1" ht="31.5">
      <c r="A623" s="26" t="s">
        <v>401</v>
      </c>
      <c r="B623" s="23" t="s">
        <v>459</v>
      </c>
      <c r="C623" s="19" t="s">
        <v>402</v>
      </c>
      <c r="D623" s="19"/>
      <c r="E623" s="24">
        <f>E624</f>
        <v>175665222.07</v>
      </c>
      <c r="F623" s="24">
        <f>F624</f>
        <v>36088413.339999996</v>
      </c>
      <c r="G623" s="25">
        <f t="shared" si="26"/>
        <v>211753635.41</v>
      </c>
    </row>
    <row r="624" spans="1:7" s="13" customFormat="1" ht="31.5">
      <c r="A624" s="46" t="s">
        <v>460</v>
      </c>
      <c r="B624" s="23" t="s">
        <v>459</v>
      </c>
      <c r="C624" s="19" t="s">
        <v>461</v>
      </c>
      <c r="D624" s="19"/>
      <c r="E624" s="24">
        <f>E625+E629+E645+E639+E642+E637+E633</f>
        <v>175665222.07</v>
      </c>
      <c r="F624" s="24">
        <f>F625+F629+F645+F639+F642+F637+F633</f>
        <v>36088413.339999996</v>
      </c>
      <c r="G624" s="25">
        <f t="shared" si="26"/>
        <v>211753635.41</v>
      </c>
    </row>
    <row r="625" spans="1:7" s="13" customFormat="1" ht="31.5">
      <c r="A625" s="26" t="s">
        <v>462</v>
      </c>
      <c r="B625" s="23" t="s">
        <v>459</v>
      </c>
      <c r="C625" s="19" t="s">
        <v>463</v>
      </c>
      <c r="D625" s="19"/>
      <c r="E625" s="24">
        <f>E626</f>
        <v>53150000</v>
      </c>
      <c r="F625" s="24">
        <f>F626</f>
        <v>2970000</v>
      </c>
      <c r="G625" s="25">
        <f t="shared" si="26"/>
        <v>56120000</v>
      </c>
    </row>
    <row r="626" spans="1:7" s="13" customFormat="1" ht="31.5">
      <c r="A626" s="26" t="s">
        <v>103</v>
      </c>
      <c r="B626" s="23" t="s">
        <v>459</v>
      </c>
      <c r="C626" s="19" t="s">
        <v>463</v>
      </c>
      <c r="D626" s="19">
        <v>600</v>
      </c>
      <c r="E626" s="24">
        <f>E627+E628</f>
        <v>53150000</v>
      </c>
      <c r="F626" s="24">
        <f>F627+F628</f>
        <v>2970000</v>
      </c>
      <c r="G626" s="25">
        <f t="shared" si="26"/>
        <v>56120000</v>
      </c>
    </row>
    <row r="627" spans="1:7" s="13" customFormat="1" ht="15.75">
      <c r="A627" s="26" t="s">
        <v>104</v>
      </c>
      <c r="B627" s="23" t="s">
        <v>459</v>
      </c>
      <c r="C627" s="19" t="s">
        <v>463</v>
      </c>
      <c r="D627" s="19">
        <v>610</v>
      </c>
      <c r="E627" s="24">
        <v>52900000</v>
      </c>
      <c r="F627" s="29">
        <v>2320000</v>
      </c>
      <c r="G627" s="25">
        <f t="shared" si="26"/>
        <v>55220000</v>
      </c>
    </row>
    <row r="628" spans="1:7" s="13" customFormat="1" ht="15.75">
      <c r="A628" s="26" t="s">
        <v>365</v>
      </c>
      <c r="B628" s="23" t="s">
        <v>459</v>
      </c>
      <c r="C628" s="19" t="s">
        <v>463</v>
      </c>
      <c r="D628" s="19">
        <v>620</v>
      </c>
      <c r="E628" s="24">
        <v>250000</v>
      </c>
      <c r="F628" s="29">
        <v>650000</v>
      </c>
      <c r="G628" s="25">
        <f t="shared" si="26"/>
        <v>900000</v>
      </c>
    </row>
    <row r="629" spans="1:7" s="13" customFormat="1" ht="31.5">
      <c r="A629" s="26" t="s">
        <v>464</v>
      </c>
      <c r="B629" s="23" t="s">
        <v>459</v>
      </c>
      <c r="C629" s="19" t="s">
        <v>465</v>
      </c>
      <c r="D629" s="19"/>
      <c r="E629" s="24">
        <f>E630</f>
        <v>1050000</v>
      </c>
      <c r="F629" s="24">
        <f>F630</f>
        <v>1204976</v>
      </c>
      <c r="G629" s="25">
        <f t="shared" si="26"/>
        <v>2254976</v>
      </c>
    </row>
    <row r="630" spans="1:7" s="13" customFormat="1" ht="31.5">
      <c r="A630" s="26" t="s">
        <v>103</v>
      </c>
      <c r="B630" s="23" t="s">
        <v>459</v>
      </c>
      <c r="C630" s="19" t="s">
        <v>465</v>
      </c>
      <c r="D630" s="19">
        <v>600</v>
      </c>
      <c r="E630" s="24">
        <f>SUM(E631:E632)</f>
        <v>1050000</v>
      </c>
      <c r="F630" s="24">
        <f>SUM(F631:F632)</f>
        <v>1204976</v>
      </c>
      <c r="G630" s="25">
        <f t="shared" si="26"/>
        <v>2254976</v>
      </c>
    </row>
    <row r="631" spans="1:7" s="13" customFormat="1" ht="15.75">
      <c r="A631" s="26" t="s">
        <v>104</v>
      </c>
      <c r="B631" s="23" t="s">
        <v>459</v>
      </c>
      <c r="C631" s="19" t="s">
        <v>465</v>
      </c>
      <c r="D631" s="19">
        <v>610</v>
      </c>
      <c r="E631" s="24">
        <v>200000</v>
      </c>
      <c r="F631" s="29">
        <f>1554976+300000</f>
        <v>1854976</v>
      </c>
      <c r="G631" s="25">
        <f t="shared" si="26"/>
        <v>2054976</v>
      </c>
    </row>
    <row r="632" spans="1:7" s="13" customFormat="1" ht="15.75">
      <c r="A632" s="26" t="s">
        <v>365</v>
      </c>
      <c r="B632" s="23" t="s">
        <v>459</v>
      </c>
      <c r="C632" s="19" t="s">
        <v>465</v>
      </c>
      <c r="D632" s="19">
        <v>620</v>
      </c>
      <c r="E632" s="24">
        <v>850000</v>
      </c>
      <c r="F632" s="29">
        <v>-650000</v>
      </c>
      <c r="G632" s="25">
        <f t="shared" si="26"/>
        <v>200000</v>
      </c>
    </row>
    <row r="633" spans="1:7" s="13" customFormat="1" ht="31.5">
      <c r="A633" s="26" t="s">
        <v>466</v>
      </c>
      <c r="B633" s="23" t="s">
        <v>459</v>
      </c>
      <c r="C633" s="19" t="s">
        <v>467</v>
      </c>
      <c r="D633" s="19"/>
      <c r="E633" s="24">
        <f>E634</f>
        <v>0</v>
      </c>
      <c r="F633" s="29">
        <f>F634</f>
        <v>27710770</v>
      </c>
      <c r="G633" s="25">
        <f t="shared" si="26"/>
        <v>27710770</v>
      </c>
    </row>
    <row r="634" spans="1:7" s="13" customFormat="1" ht="31.5">
      <c r="A634" s="30" t="s">
        <v>22</v>
      </c>
      <c r="B634" s="23" t="s">
        <v>459</v>
      </c>
      <c r="C634" s="19" t="s">
        <v>467</v>
      </c>
      <c r="D634" s="19">
        <v>200</v>
      </c>
      <c r="E634" s="24">
        <f>E635</f>
        <v>0</v>
      </c>
      <c r="F634" s="29">
        <f>F635</f>
        <v>27710770</v>
      </c>
      <c r="G634" s="25">
        <f t="shared" si="26"/>
        <v>27710770</v>
      </c>
    </row>
    <row r="635" spans="1:7" s="13" customFormat="1" ht="31.5">
      <c r="A635" s="30" t="s">
        <v>24</v>
      </c>
      <c r="B635" s="23" t="s">
        <v>459</v>
      </c>
      <c r="C635" s="19" t="s">
        <v>467</v>
      </c>
      <c r="D635" s="19">
        <v>240</v>
      </c>
      <c r="E635" s="24">
        <v>0</v>
      </c>
      <c r="F635" s="29">
        <f>27710770</f>
        <v>27710770</v>
      </c>
      <c r="G635" s="25">
        <f t="shared" si="26"/>
        <v>27710770</v>
      </c>
    </row>
    <row r="636" spans="1:7" s="13" customFormat="1" ht="15.75">
      <c r="A636" s="26" t="s">
        <v>468</v>
      </c>
      <c r="B636" s="23" t="s">
        <v>459</v>
      </c>
      <c r="C636" s="19" t="s">
        <v>469</v>
      </c>
      <c r="D636" s="19"/>
      <c r="E636" s="24">
        <f>E637</f>
        <v>0</v>
      </c>
      <c r="F636" s="29">
        <f>F637</f>
        <v>1571088.4</v>
      </c>
      <c r="G636" s="25">
        <f t="shared" si="26"/>
        <v>1571088.4</v>
      </c>
    </row>
    <row r="637" spans="1:7" s="13" customFormat="1" ht="31.5">
      <c r="A637" s="30" t="s">
        <v>22</v>
      </c>
      <c r="B637" s="23" t="s">
        <v>459</v>
      </c>
      <c r="C637" s="19" t="s">
        <v>469</v>
      </c>
      <c r="D637" s="19">
        <v>200</v>
      </c>
      <c r="E637" s="24">
        <f>E638</f>
        <v>0</v>
      </c>
      <c r="F637" s="29">
        <f>F638</f>
        <v>1571088.4</v>
      </c>
      <c r="G637" s="25">
        <f t="shared" si="26"/>
        <v>1571088.4</v>
      </c>
    </row>
    <row r="638" spans="1:7" s="13" customFormat="1" ht="31.5">
      <c r="A638" s="30" t="s">
        <v>24</v>
      </c>
      <c r="B638" s="23" t="s">
        <v>459</v>
      </c>
      <c r="C638" s="19" t="s">
        <v>469</v>
      </c>
      <c r="D638" s="19">
        <v>240</v>
      </c>
      <c r="E638" s="24">
        <v>0</v>
      </c>
      <c r="F638" s="29">
        <f>25079191.06-24931395.06+1423292.4</f>
        <v>1571088.4</v>
      </c>
      <c r="G638" s="25">
        <f t="shared" si="26"/>
        <v>1571088.4</v>
      </c>
    </row>
    <row r="639" spans="1:7" s="13" customFormat="1" ht="78.75">
      <c r="A639" s="26" t="s">
        <v>470</v>
      </c>
      <c r="B639" s="23" t="s">
        <v>459</v>
      </c>
      <c r="C639" s="19" t="s">
        <v>471</v>
      </c>
      <c r="D639" s="19"/>
      <c r="E639" s="24">
        <f>E640</f>
        <v>47368421.06</v>
      </c>
      <c r="F639" s="29">
        <f>F640</f>
        <v>-47368421.06</v>
      </c>
      <c r="G639" s="25">
        <f t="shared" si="26"/>
        <v>0</v>
      </c>
    </row>
    <row r="640" spans="1:7" s="13" customFormat="1" ht="31.5">
      <c r="A640" s="30" t="s">
        <v>22</v>
      </c>
      <c r="B640" s="23" t="s">
        <v>459</v>
      </c>
      <c r="C640" s="19" t="s">
        <v>471</v>
      </c>
      <c r="D640" s="19">
        <v>200</v>
      </c>
      <c r="E640" s="24">
        <f>E641</f>
        <v>47368421.06</v>
      </c>
      <c r="F640" s="29">
        <f>F641</f>
        <v>-47368421.06</v>
      </c>
      <c r="G640" s="25">
        <f t="shared" si="26"/>
        <v>0</v>
      </c>
    </row>
    <row r="641" spans="1:7" s="13" customFormat="1" ht="31.5">
      <c r="A641" s="30" t="s">
        <v>24</v>
      </c>
      <c r="B641" s="23" t="s">
        <v>459</v>
      </c>
      <c r="C641" s="19" t="s">
        <v>471</v>
      </c>
      <c r="D641" s="19">
        <v>240</v>
      </c>
      <c r="E641" s="24">
        <f>45000000+2368421.06</f>
        <v>47368421.06</v>
      </c>
      <c r="F641" s="29">
        <v>-47368421.06</v>
      </c>
      <c r="G641" s="25">
        <f t="shared" si="26"/>
        <v>0</v>
      </c>
    </row>
    <row r="642" spans="1:7" s="13" customFormat="1" ht="78.75">
      <c r="A642" s="26" t="s">
        <v>470</v>
      </c>
      <c r="B642" s="23" t="s">
        <v>459</v>
      </c>
      <c r="C642" s="19" t="s">
        <v>472</v>
      </c>
      <c r="D642" s="19"/>
      <c r="E642" s="24">
        <f>E643</f>
        <v>0</v>
      </c>
      <c r="F642" s="29">
        <f>F643</f>
        <v>50000000</v>
      </c>
      <c r="G642" s="25">
        <f t="shared" si="26"/>
        <v>50000000</v>
      </c>
    </row>
    <row r="643" spans="1:7" s="13" customFormat="1" ht="31.5">
      <c r="A643" s="30" t="s">
        <v>22</v>
      </c>
      <c r="B643" s="23" t="s">
        <v>459</v>
      </c>
      <c r="C643" s="19" t="s">
        <v>472</v>
      </c>
      <c r="D643" s="19">
        <v>200</v>
      </c>
      <c r="E643" s="24">
        <f>E644</f>
        <v>0</v>
      </c>
      <c r="F643" s="29">
        <f>F644</f>
        <v>50000000</v>
      </c>
      <c r="G643" s="25">
        <f t="shared" si="26"/>
        <v>50000000</v>
      </c>
    </row>
    <row r="644" spans="1:7" s="13" customFormat="1" ht="31.5">
      <c r="A644" s="30" t="s">
        <v>24</v>
      </c>
      <c r="B644" s="23" t="s">
        <v>459</v>
      </c>
      <c r="C644" s="19" t="s">
        <v>472</v>
      </c>
      <c r="D644" s="19">
        <v>240</v>
      </c>
      <c r="E644" s="24">
        <v>0</v>
      </c>
      <c r="F644" s="29">
        <f>47368421.06+2631578.94</f>
        <v>50000000</v>
      </c>
      <c r="G644" s="25">
        <f t="shared" si="26"/>
        <v>50000000</v>
      </c>
    </row>
    <row r="645" spans="1:7" s="13" customFormat="1" ht="47.25">
      <c r="A645" s="26" t="s">
        <v>473</v>
      </c>
      <c r="B645" s="23" t="s">
        <v>459</v>
      </c>
      <c r="C645" s="19" t="s">
        <v>474</v>
      </c>
      <c r="D645" s="19"/>
      <c r="E645" s="24">
        <f>E646</f>
        <v>74096801.01</v>
      </c>
      <c r="F645" s="24">
        <f>F646</f>
        <v>0</v>
      </c>
      <c r="G645" s="25">
        <f t="shared" si="26"/>
        <v>74096801.01</v>
      </c>
    </row>
    <row r="646" spans="1:7" s="13" customFormat="1" ht="31.5">
      <c r="A646" s="30" t="s">
        <v>22</v>
      </c>
      <c r="B646" s="23" t="s">
        <v>459</v>
      </c>
      <c r="C646" s="19" t="s">
        <v>474</v>
      </c>
      <c r="D646" s="19">
        <v>200</v>
      </c>
      <c r="E646" s="24">
        <f>E647</f>
        <v>74096801.01</v>
      </c>
      <c r="F646" s="24">
        <f>F647</f>
        <v>0</v>
      </c>
      <c r="G646" s="25">
        <f t="shared" si="26"/>
        <v>74096801.01</v>
      </c>
    </row>
    <row r="647" spans="1:7" s="13" customFormat="1" ht="31.5">
      <c r="A647" s="30" t="s">
        <v>24</v>
      </c>
      <c r="B647" s="23" t="s">
        <v>459</v>
      </c>
      <c r="C647" s="19" t="s">
        <v>474</v>
      </c>
      <c r="D647" s="19">
        <v>240</v>
      </c>
      <c r="E647" s="24">
        <f>73355833+740968.01</f>
        <v>74096801.01</v>
      </c>
      <c r="F647" s="29">
        <v>0</v>
      </c>
      <c r="G647" s="25">
        <f t="shared" si="26"/>
        <v>74096801.01</v>
      </c>
    </row>
    <row r="648" spans="1:7" s="13" customFormat="1" ht="31.5">
      <c r="A648" s="26" t="s">
        <v>475</v>
      </c>
      <c r="B648" s="23" t="s">
        <v>459</v>
      </c>
      <c r="C648" s="19" t="s">
        <v>476</v>
      </c>
      <c r="D648" s="19"/>
      <c r="E648" s="24">
        <f>E649</f>
        <v>103170000</v>
      </c>
      <c r="F648" s="24">
        <f>F649</f>
        <v>13061381</v>
      </c>
      <c r="G648" s="25">
        <f t="shared" si="26"/>
        <v>116231381</v>
      </c>
    </row>
    <row r="649" spans="1:7" s="13" customFormat="1" ht="47.25">
      <c r="A649" s="46" t="s">
        <v>477</v>
      </c>
      <c r="B649" s="23" t="s">
        <v>459</v>
      </c>
      <c r="C649" s="19" t="s">
        <v>478</v>
      </c>
      <c r="D649" s="19"/>
      <c r="E649" s="24">
        <f>SUM(E650,E653)</f>
        <v>103170000</v>
      </c>
      <c r="F649" s="24">
        <f>SUM(F650,F653)</f>
        <v>13061381</v>
      </c>
      <c r="G649" s="25">
        <f t="shared" si="26"/>
        <v>116231381</v>
      </c>
    </row>
    <row r="650" spans="1:7" s="13" customFormat="1" ht="31.5">
      <c r="A650" s="46" t="s">
        <v>479</v>
      </c>
      <c r="B650" s="23" t="s">
        <v>459</v>
      </c>
      <c r="C650" s="19" t="s">
        <v>480</v>
      </c>
      <c r="D650" s="19"/>
      <c r="E650" s="24">
        <f>E651</f>
        <v>102170000</v>
      </c>
      <c r="F650" s="24">
        <f>F651</f>
        <v>13061381</v>
      </c>
      <c r="G650" s="25">
        <f t="shared" si="26"/>
        <v>115231381</v>
      </c>
    </row>
    <row r="651" spans="1:7" s="13" customFormat="1" ht="31.5">
      <c r="A651" s="26" t="s">
        <v>103</v>
      </c>
      <c r="B651" s="23" t="s">
        <v>459</v>
      </c>
      <c r="C651" s="19" t="s">
        <v>480</v>
      </c>
      <c r="D651" s="19">
        <v>600</v>
      </c>
      <c r="E651" s="24">
        <f>E652</f>
        <v>102170000</v>
      </c>
      <c r="F651" s="24">
        <f>F652</f>
        <v>13061381</v>
      </c>
      <c r="G651" s="25">
        <f t="shared" si="26"/>
        <v>115231381</v>
      </c>
    </row>
    <row r="652" spans="1:7" s="13" customFormat="1" ht="15.75">
      <c r="A652" s="26" t="s">
        <v>104</v>
      </c>
      <c r="B652" s="23" t="s">
        <v>459</v>
      </c>
      <c r="C652" s="19" t="s">
        <v>480</v>
      </c>
      <c r="D652" s="19">
        <v>610</v>
      </c>
      <c r="E652" s="24">
        <v>102170000</v>
      </c>
      <c r="F652" s="29">
        <f>1278564+11782817</f>
        <v>13061381</v>
      </c>
      <c r="G652" s="25">
        <f t="shared" si="26"/>
        <v>115231381</v>
      </c>
    </row>
    <row r="653" spans="1:7" s="13" customFormat="1" ht="47.25">
      <c r="A653" s="46" t="s">
        <v>481</v>
      </c>
      <c r="B653" s="23" t="s">
        <v>459</v>
      </c>
      <c r="C653" s="19" t="s">
        <v>482</v>
      </c>
      <c r="D653" s="19"/>
      <c r="E653" s="24">
        <f>E654</f>
        <v>1000000</v>
      </c>
      <c r="F653" s="24">
        <f>F654</f>
        <v>0</v>
      </c>
      <c r="G653" s="25">
        <f t="shared" si="26"/>
        <v>1000000</v>
      </c>
    </row>
    <row r="654" spans="1:7" s="13" customFormat="1" ht="31.5">
      <c r="A654" s="26" t="s">
        <v>103</v>
      </c>
      <c r="B654" s="23" t="s">
        <v>459</v>
      </c>
      <c r="C654" s="19" t="s">
        <v>482</v>
      </c>
      <c r="D654" s="19">
        <v>600</v>
      </c>
      <c r="E654" s="24">
        <f>E655</f>
        <v>1000000</v>
      </c>
      <c r="F654" s="24">
        <f>F655</f>
        <v>0</v>
      </c>
      <c r="G654" s="25">
        <f t="shared" si="26"/>
        <v>1000000</v>
      </c>
    </row>
    <row r="655" spans="1:7" s="13" customFormat="1" ht="15.75">
      <c r="A655" s="26" t="s">
        <v>104</v>
      </c>
      <c r="B655" s="23" t="s">
        <v>459</v>
      </c>
      <c r="C655" s="19" t="s">
        <v>482</v>
      </c>
      <c r="D655" s="19">
        <v>610</v>
      </c>
      <c r="E655" s="24">
        <v>1000000</v>
      </c>
      <c r="F655" s="29">
        <v>0</v>
      </c>
      <c r="G655" s="25">
        <f t="shared" si="26"/>
        <v>1000000</v>
      </c>
    </row>
    <row r="656" spans="1:7" s="13" customFormat="1" ht="15.75">
      <c r="A656" s="17" t="s">
        <v>483</v>
      </c>
      <c r="B656" s="18" t="s">
        <v>484</v>
      </c>
      <c r="C656" s="19"/>
      <c r="D656" s="19"/>
      <c r="E656" s="20">
        <f>E657+E671+E664</f>
        <v>20076717</v>
      </c>
      <c r="F656" s="20">
        <f>F657+F671+F664</f>
        <v>-9084976</v>
      </c>
      <c r="G656" s="21">
        <f t="shared" si="26"/>
        <v>10991741</v>
      </c>
    </row>
    <row r="657" spans="1:7" s="13" customFormat="1" ht="31.5">
      <c r="A657" s="26" t="s">
        <v>401</v>
      </c>
      <c r="B657" s="23" t="s">
        <v>484</v>
      </c>
      <c r="C657" s="19" t="s">
        <v>402</v>
      </c>
      <c r="D657" s="19"/>
      <c r="E657" s="24">
        <f>E658</f>
        <v>11576717</v>
      </c>
      <c r="F657" s="24">
        <f>F658</f>
        <v>-9084976</v>
      </c>
      <c r="G657" s="25">
        <f t="shared" si="26"/>
        <v>2491741</v>
      </c>
    </row>
    <row r="658" spans="1:7" s="13" customFormat="1" ht="31.5">
      <c r="A658" s="26" t="s">
        <v>485</v>
      </c>
      <c r="B658" s="23" t="s">
        <v>484</v>
      </c>
      <c r="C658" s="19" t="s">
        <v>486</v>
      </c>
      <c r="D658" s="19"/>
      <c r="E658" s="24">
        <f>SUM(E659)</f>
        <v>11576717</v>
      </c>
      <c r="F658" s="24">
        <f>SUM(F659)</f>
        <v>-9084976</v>
      </c>
      <c r="G658" s="25">
        <f t="shared" si="26"/>
        <v>2491741</v>
      </c>
    </row>
    <row r="659" spans="1:7" s="13" customFormat="1" ht="31.5">
      <c r="A659" s="26" t="s">
        <v>487</v>
      </c>
      <c r="B659" s="23" t="s">
        <v>484</v>
      </c>
      <c r="C659" s="19" t="s">
        <v>488</v>
      </c>
      <c r="D659" s="19"/>
      <c r="E659" s="24">
        <f>E660+E662</f>
        <v>11576717</v>
      </c>
      <c r="F659" s="24">
        <f>F660+F662</f>
        <v>-9084976</v>
      </c>
      <c r="G659" s="25">
        <f t="shared" si="26"/>
        <v>2491741</v>
      </c>
    </row>
    <row r="660" spans="1:7" s="13" customFormat="1" ht="31.5">
      <c r="A660" s="30" t="s">
        <v>22</v>
      </c>
      <c r="B660" s="23" t="s">
        <v>484</v>
      </c>
      <c r="C660" s="19" t="s">
        <v>488</v>
      </c>
      <c r="D660" s="19">
        <v>200</v>
      </c>
      <c r="E660" s="24">
        <f>E661</f>
        <v>11576717</v>
      </c>
      <c r="F660" s="24">
        <f>F661</f>
        <v>-9349296</v>
      </c>
      <c r="G660" s="25">
        <f t="shared" si="26"/>
        <v>2227421</v>
      </c>
    </row>
    <row r="661" spans="1:7" s="13" customFormat="1" ht="31.5">
      <c r="A661" s="30" t="s">
        <v>24</v>
      </c>
      <c r="B661" s="23" t="s">
        <v>484</v>
      </c>
      <c r="C661" s="19" t="s">
        <v>488</v>
      </c>
      <c r="D661" s="19">
        <v>240</v>
      </c>
      <c r="E661" s="24">
        <f>9500000+2076717</f>
        <v>11576717</v>
      </c>
      <c r="F661" s="29">
        <f>-5500000-3849296</f>
        <v>-9349296</v>
      </c>
      <c r="G661" s="25">
        <f t="shared" si="26"/>
        <v>2227421</v>
      </c>
    </row>
    <row r="662" spans="1:7" s="13" customFormat="1" ht="31.5">
      <c r="A662" s="26" t="s">
        <v>103</v>
      </c>
      <c r="B662" s="23" t="s">
        <v>484</v>
      </c>
      <c r="C662" s="19" t="s">
        <v>488</v>
      </c>
      <c r="D662" s="19">
        <v>600</v>
      </c>
      <c r="E662" s="24">
        <f>E663</f>
        <v>0</v>
      </c>
      <c r="F662" s="29">
        <f>F663</f>
        <v>264320</v>
      </c>
      <c r="G662" s="25">
        <f t="shared" si="26"/>
        <v>264320</v>
      </c>
    </row>
    <row r="663" spans="1:7" s="13" customFormat="1" ht="15.75">
      <c r="A663" s="26" t="s">
        <v>104</v>
      </c>
      <c r="B663" s="23" t="s">
        <v>484</v>
      </c>
      <c r="C663" s="19" t="s">
        <v>488</v>
      </c>
      <c r="D663" s="19">
        <v>610</v>
      </c>
      <c r="E663" s="24">
        <v>0</v>
      </c>
      <c r="F663" s="29">
        <v>264320</v>
      </c>
      <c r="G663" s="25">
        <f t="shared" si="26"/>
        <v>264320</v>
      </c>
    </row>
    <row r="664" spans="1:7" s="13" customFormat="1" ht="15.75">
      <c r="A664" s="26" t="s">
        <v>489</v>
      </c>
      <c r="B664" s="23" t="s">
        <v>484</v>
      </c>
      <c r="C664" s="19" t="s">
        <v>490</v>
      </c>
      <c r="D664" s="19"/>
      <c r="E664" s="24">
        <f>SUM(E665,E668)</f>
        <v>8350000</v>
      </c>
      <c r="F664" s="24">
        <f>SUM(F665,F668)</f>
        <v>0</v>
      </c>
      <c r="G664" s="25">
        <f t="shared" si="26"/>
        <v>8350000</v>
      </c>
    </row>
    <row r="665" spans="1:7" s="13" customFormat="1" ht="31.5">
      <c r="A665" s="26" t="s">
        <v>491</v>
      </c>
      <c r="B665" s="23" t="s">
        <v>484</v>
      </c>
      <c r="C665" s="19" t="s">
        <v>492</v>
      </c>
      <c r="D665" s="19"/>
      <c r="E665" s="24">
        <f>E666</f>
        <v>600000</v>
      </c>
      <c r="F665" s="24">
        <f>F666</f>
        <v>0</v>
      </c>
      <c r="G665" s="25">
        <f t="shared" si="26"/>
        <v>600000</v>
      </c>
    </row>
    <row r="666" spans="1:7" s="13" customFormat="1" ht="31.5">
      <c r="A666" s="26" t="s">
        <v>103</v>
      </c>
      <c r="B666" s="23" t="s">
        <v>484</v>
      </c>
      <c r="C666" s="19" t="s">
        <v>492</v>
      </c>
      <c r="D666" s="19">
        <v>600</v>
      </c>
      <c r="E666" s="24">
        <f>E667</f>
        <v>600000</v>
      </c>
      <c r="F666" s="24">
        <f>F667</f>
        <v>0</v>
      </c>
      <c r="G666" s="25">
        <f t="shared" si="26"/>
        <v>600000</v>
      </c>
    </row>
    <row r="667" spans="1:7" s="13" customFormat="1" ht="15.75">
      <c r="A667" s="26" t="s">
        <v>104</v>
      </c>
      <c r="B667" s="23" t="s">
        <v>484</v>
      </c>
      <c r="C667" s="19" t="s">
        <v>492</v>
      </c>
      <c r="D667" s="19">
        <v>610</v>
      </c>
      <c r="E667" s="29">
        <v>600000</v>
      </c>
      <c r="F667" s="29">
        <v>0</v>
      </c>
      <c r="G667" s="25">
        <f t="shared" si="26"/>
        <v>600000</v>
      </c>
    </row>
    <row r="668" spans="1:7" s="13" customFormat="1" ht="31.5">
      <c r="A668" s="26" t="s">
        <v>493</v>
      </c>
      <c r="B668" s="23" t="s">
        <v>484</v>
      </c>
      <c r="C668" s="19" t="s">
        <v>494</v>
      </c>
      <c r="D668" s="19"/>
      <c r="E668" s="29">
        <f>E669</f>
        <v>7750000</v>
      </c>
      <c r="F668" s="29">
        <f>F669</f>
        <v>0</v>
      </c>
      <c r="G668" s="25">
        <f t="shared" si="26"/>
        <v>7750000</v>
      </c>
    </row>
    <row r="669" spans="1:7" s="13" customFormat="1" ht="31.5">
      <c r="A669" s="26" t="s">
        <v>103</v>
      </c>
      <c r="B669" s="23" t="s">
        <v>484</v>
      </c>
      <c r="C669" s="19" t="s">
        <v>494</v>
      </c>
      <c r="D669" s="19">
        <v>600</v>
      </c>
      <c r="E669" s="29">
        <f>E670</f>
        <v>7750000</v>
      </c>
      <c r="F669" s="29">
        <f>F670</f>
        <v>0</v>
      </c>
      <c r="G669" s="25">
        <f t="shared" si="26"/>
        <v>7750000</v>
      </c>
    </row>
    <row r="670" spans="1:7" s="13" customFormat="1" ht="15.75">
      <c r="A670" s="26" t="s">
        <v>104</v>
      </c>
      <c r="B670" s="23" t="s">
        <v>484</v>
      </c>
      <c r="C670" s="19" t="s">
        <v>494</v>
      </c>
      <c r="D670" s="19">
        <v>610</v>
      </c>
      <c r="E670" s="29">
        <v>7750000</v>
      </c>
      <c r="F670" s="29">
        <v>0</v>
      </c>
      <c r="G670" s="25">
        <f t="shared" si="26"/>
        <v>7750000</v>
      </c>
    </row>
    <row r="671" spans="1:7" s="13" customFormat="1" ht="31.5">
      <c r="A671" s="26" t="s">
        <v>105</v>
      </c>
      <c r="B671" s="23" t="s">
        <v>484</v>
      </c>
      <c r="C671" s="19" t="s">
        <v>106</v>
      </c>
      <c r="D671" s="19"/>
      <c r="E671" s="24">
        <f aca="true" t="shared" si="27" ref="E671:F674">E672</f>
        <v>150000</v>
      </c>
      <c r="F671" s="24">
        <f t="shared" si="27"/>
        <v>0</v>
      </c>
      <c r="G671" s="25">
        <f aca="true" t="shared" si="28" ref="G671:G734">SUM(E671:F671)</f>
        <v>150000</v>
      </c>
    </row>
    <row r="672" spans="1:7" s="13" customFormat="1" ht="47.25">
      <c r="A672" s="46" t="s">
        <v>107</v>
      </c>
      <c r="B672" s="23" t="s">
        <v>484</v>
      </c>
      <c r="C672" s="19" t="s">
        <v>108</v>
      </c>
      <c r="D672" s="19"/>
      <c r="E672" s="24">
        <f t="shared" si="27"/>
        <v>150000</v>
      </c>
      <c r="F672" s="24">
        <f t="shared" si="27"/>
        <v>0</v>
      </c>
      <c r="G672" s="25">
        <f t="shared" si="28"/>
        <v>150000</v>
      </c>
    </row>
    <row r="673" spans="1:7" s="13" customFormat="1" ht="31.5">
      <c r="A673" s="46" t="s">
        <v>495</v>
      </c>
      <c r="B673" s="23" t="s">
        <v>484</v>
      </c>
      <c r="C673" s="19" t="s">
        <v>496</v>
      </c>
      <c r="D673" s="19"/>
      <c r="E673" s="24">
        <f t="shared" si="27"/>
        <v>150000</v>
      </c>
      <c r="F673" s="24">
        <f t="shared" si="27"/>
        <v>0</v>
      </c>
      <c r="G673" s="25">
        <f t="shared" si="28"/>
        <v>150000</v>
      </c>
    </row>
    <row r="674" spans="1:7" s="13" customFormat="1" ht="31.5">
      <c r="A674" s="26" t="s">
        <v>103</v>
      </c>
      <c r="B674" s="23" t="s">
        <v>484</v>
      </c>
      <c r="C674" s="19" t="s">
        <v>496</v>
      </c>
      <c r="D674" s="19">
        <v>600</v>
      </c>
      <c r="E674" s="24">
        <f t="shared" si="27"/>
        <v>150000</v>
      </c>
      <c r="F674" s="24">
        <f t="shared" si="27"/>
        <v>0</v>
      </c>
      <c r="G674" s="25">
        <f t="shared" si="28"/>
        <v>150000</v>
      </c>
    </row>
    <row r="675" spans="1:7" s="13" customFormat="1" ht="15.75">
      <c r="A675" s="26" t="s">
        <v>104</v>
      </c>
      <c r="B675" s="23" t="s">
        <v>484</v>
      </c>
      <c r="C675" s="19" t="s">
        <v>496</v>
      </c>
      <c r="D675" s="19">
        <v>610</v>
      </c>
      <c r="E675" s="24">
        <v>150000</v>
      </c>
      <c r="F675" s="29">
        <v>0</v>
      </c>
      <c r="G675" s="25">
        <f t="shared" si="28"/>
        <v>150000</v>
      </c>
    </row>
    <row r="676" spans="1:7" s="13" customFormat="1" ht="15.75">
      <c r="A676" s="17" t="s">
        <v>497</v>
      </c>
      <c r="B676" s="18" t="s">
        <v>498</v>
      </c>
      <c r="C676" s="19"/>
      <c r="D676" s="19"/>
      <c r="E676" s="20">
        <f>E677+E712</f>
        <v>73592000</v>
      </c>
      <c r="F676" s="20">
        <f>F677+F712</f>
        <v>-130000</v>
      </c>
      <c r="G676" s="21">
        <f t="shared" si="28"/>
        <v>73462000</v>
      </c>
    </row>
    <row r="677" spans="1:7" s="13" customFormat="1" ht="31.5">
      <c r="A677" s="26" t="s">
        <v>401</v>
      </c>
      <c r="B677" s="23" t="s">
        <v>498</v>
      </c>
      <c r="C677" s="19" t="s">
        <v>402</v>
      </c>
      <c r="D677" s="19"/>
      <c r="E677" s="24">
        <f>SUM(E678,E684,E691)</f>
        <v>73592000</v>
      </c>
      <c r="F677" s="24">
        <f>SUM(F678,F684,F691)</f>
        <v>-420000</v>
      </c>
      <c r="G677" s="25">
        <f t="shared" si="28"/>
        <v>73172000</v>
      </c>
    </row>
    <row r="678" spans="1:7" s="13" customFormat="1" ht="31.5">
      <c r="A678" s="26" t="s">
        <v>485</v>
      </c>
      <c r="B678" s="23" t="s">
        <v>498</v>
      </c>
      <c r="C678" s="19" t="s">
        <v>486</v>
      </c>
      <c r="D678" s="19"/>
      <c r="E678" s="24">
        <f>E679</f>
        <v>2550000</v>
      </c>
      <c r="F678" s="24">
        <f>F679</f>
        <v>-1500000</v>
      </c>
      <c r="G678" s="25">
        <f t="shared" si="28"/>
        <v>1050000</v>
      </c>
    </row>
    <row r="679" spans="1:7" s="13" customFormat="1" ht="31.5">
      <c r="A679" s="26" t="s">
        <v>499</v>
      </c>
      <c r="B679" s="23" t="s">
        <v>498</v>
      </c>
      <c r="C679" s="19" t="s">
        <v>500</v>
      </c>
      <c r="D679" s="19"/>
      <c r="E679" s="24">
        <f>SUM(E680,E682)</f>
        <v>2550000</v>
      </c>
      <c r="F679" s="24">
        <f>SUM(F680,F682)</f>
        <v>-1500000</v>
      </c>
      <c r="G679" s="25">
        <f t="shared" si="28"/>
        <v>1050000</v>
      </c>
    </row>
    <row r="680" spans="1:7" s="13" customFormat="1" ht="31.5">
      <c r="A680" s="30" t="s">
        <v>22</v>
      </c>
      <c r="B680" s="23" t="s">
        <v>498</v>
      </c>
      <c r="C680" s="19" t="s">
        <v>500</v>
      </c>
      <c r="D680" s="19">
        <v>200</v>
      </c>
      <c r="E680" s="24">
        <f>E681</f>
        <v>2550000</v>
      </c>
      <c r="F680" s="24">
        <f>F681</f>
        <v>-2550000</v>
      </c>
      <c r="G680" s="25">
        <f t="shared" si="28"/>
        <v>0</v>
      </c>
    </row>
    <row r="681" spans="1:7" s="13" customFormat="1" ht="31.5">
      <c r="A681" s="30" t="s">
        <v>24</v>
      </c>
      <c r="B681" s="23" t="s">
        <v>498</v>
      </c>
      <c r="C681" s="19" t="s">
        <v>500</v>
      </c>
      <c r="D681" s="19">
        <v>240</v>
      </c>
      <c r="E681" s="29">
        <v>2550000</v>
      </c>
      <c r="F681" s="29">
        <v>-2550000</v>
      </c>
      <c r="G681" s="25">
        <f t="shared" si="28"/>
        <v>0</v>
      </c>
    </row>
    <row r="682" spans="1:7" s="13" customFormat="1" ht="31.5">
      <c r="A682" s="26" t="s">
        <v>103</v>
      </c>
      <c r="B682" s="23" t="s">
        <v>498</v>
      </c>
      <c r="C682" s="19" t="s">
        <v>500</v>
      </c>
      <c r="D682" s="19">
        <v>600</v>
      </c>
      <c r="E682" s="24">
        <f>E683</f>
        <v>0</v>
      </c>
      <c r="F682" s="24">
        <f>F683</f>
        <v>1050000</v>
      </c>
      <c r="G682" s="25">
        <f t="shared" si="28"/>
        <v>1050000</v>
      </c>
    </row>
    <row r="683" spans="1:7" s="13" customFormat="1" ht="15.75">
      <c r="A683" s="26" t="s">
        <v>104</v>
      </c>
      <c r="B683" s="23" t="s">
        <v>498</v>
      </c>
      <c r="C683" s="19" t="s">
        <v>500</v>
      </c>
      <c r="D683" s="19">
        <v>610</v>
      </c>
      <c r="E683" s="24">
        <v>0</v>
      </c>
      <c r="F683" s="29">
        <f>2550000-1500000</f>
        <v>1050000</v>
      </c>
      <c r="G683" s="25">
        <f t="shared" si="28"/>
        <v>1050000</v>
      </c>
    </row>
    <row r="684" spans="1:7" s="13" customFormat="1" ht="47.25">
      <c r="A684" s="46" t="s">
        <v>501</v>
      </c>
      <c r="B684" s="23" t="s">
        <v>498</v>
      </c>
      <c r="C684" s="19" t="s">
        <v>502</v>
      </c>
      <c r="D684" s="19"/>
      <c r="E684" s="24">
        <f>SUM(E685,E688)</f>
        <v>10050000</v>
      </c>
      <c r="F684" s="24">
        <f>SUM(F685,F688)</f>
        <v>0</v>
      </c>
      <c r="G684" s="25">
        <f t="shared" si="28"/>
        <v>10050000</v>
      </c>
    </row>
    <row r="685" spans="1:7" s="13" customFormat="1" ht="31.5">
      <c r="A685" s="46" t="s">
        <v>503</v>
      </c>
      <c r="B685" s="23" t="s">
        <v>498</v>
      </c>
      <c r="C685" s="19" t="s">
        <v>504</v>
      </c>
      <c r="D685" s="19"/>
      <c r="E685" s="29">
        <f>E686</f>
        <v>10000000</v>
      </c>
      <c r="F685" s="29">
        <f>F686</f>
        <v>0</v>
      </c>
      <c r="G685" s="25">
        <f t="shared" si="28"/>
        <v>10000000</v>
      </c>
    </row>
    <row r="686" spans="1:7" s="13" customFormat="1" ht="31.5">
      <c r="A686" s="26" t="s">
        <v>103</v>
      </c>
      <c r="B686" s="23" t="s">
        <v>498</v>
      </c>
      <c r="C686" s="19" t="s">
        <v>504</v>
      </c>
      <c r="D686" s="19">
        <v>600</v>
      </c>
      <c r="E686" s="29">
        <f>E687</f>
        <v>10000000</v>
      </c>
      <c r="F686" s="29">
        <f>F687</f>
        <v>0</v>
      </c>
      <c r="G686" s="25">
        <f t="shared" si="28"/>
        <v>10000000</v>
      </c>
    </row>
    <row r="687" spans="1:7" s="13" customFormat="1" ht="15.75">
      <c r="A687" s="26" t="s">
        <v>104</v>
      </c>
      <c r="B687" s="23" t="s">
        <v>498</v>
      </c>
      <c r="C687" s="19" t="s">
        <v>504</v>
      </c>
      <c r="D687" s="19">
        <v>610</v>
      </c>
      <c r="E687" s="29">
        <v>10000000</v>
      </c>
      <c r="F687" s="29">
        <v>0</v>
      </c>
      <c r="G687" s="25">
        <f t="shared" si="28"/>
        <v>10000000</v>
      </c>
    </row>
    <row r="688" spans="1:7" s="13" customFormat="1" ht="31.5">
      <c r="A688" s="46" t="s">
        <v>505</v>
      </c>
      <c r="B688" s="23" t="s">
        <v>498</v>
      </c>
      <c r="C688" s="19" t="s">
        <v>506</v>
      </c>
      <c r="D688" s="19"/>
      <c r="E688" s="29">
        <f>E689</f>
        <v>50000</v>
      </c>
      <c r="F688" s="29">
        <f>F689</f>
        <v>0</v>
      </c>
      <c r="G688" s="25">
        <f t="shared" si="28"/>
        <v>50000</v>
      </c>
    </row>
    <row r="689" spans="1:7" s="13" customFormat="1" ht="31.5">
      <c r="A689" s="26" t="s">
        <v>103</v>
      </c>
      <c r="B689" s="23" t="s">
        <v>498</v>
      </c>
      <c r="C689" s="19" t="s">
        <v>506</v>
      </c>
      <c r="D689" s="19">
        <v>600</v>
      </c>
      <c r="E689" s="29">
        <f>E690</f>
        <v>50000</v>
      </c>
      <c r="F689" s="29">
        <f>F690</f>
        <v>0</v>
      </c>
      <c r="G689" s="25">
        <f t="shared" si="28"/>
        <v>50000</v>
      </c>
    </row>
    <row r="690" spans="1:7" s="13" customFormat="1" ht="15.75">
      <c r="A690" s="26" t="s">
        <v>104</v>
      </c>
      <c r="B690" s="23" t="s">
        <v>498</v>
      </c>
      <c r="C690" s="19" t="s">
        <v>506</v>
      </c>
      <c r="D690" s="19">
        <v>610</v>
      </c>
      <c r="E690" s="29">
        <v>50000</v>
      </c>
      <c r="F690" s="29">
        <v>0</v>
      </c>
      <c r="G690" s="25">
        <f t="shared" si="28"/>
        <v>50000</v>
      </c>
    </row>
    <row r="691" spans="1:7" s="13" customFormat="1" ht="31.5">
      <c r="A691" s="46" t="s">
        <v>454</v>
      </c>
      <c r="B691" s="23" t="s">
        <v>498</v>
      </c>
      <c r="C691" s="19" t="s">
        <v>455</v>
      </c>
      <c r="D691" s="19"/>
      <c r="E691" s="24">
        <f>SUM(E692,E699,E706,E709)</f>
        <v>60992000</v>
      </c>
      <c r="F691" s="24">
        <f>SUM(F692,F699,F706,F709)</f>
        <v>1080000</v>
      </c>
      <c r="G691" s="25">
        <f t="shared" si="28"/>
        <v>62072000</v>
      </c>
    </row>
    <row r="692" spans="1:7" s="13" customFormat="1" ht="31.5">
      <c r="A692" s="46" t="s">
        <v>507</v>
      </c>
      <c r="B692" s="23" t="s">
        <v>498</v>
      </c>
      <c r="C692" s="19" t="s">
        <v>508</v>
      </c>
      <c r="D692" s="19"/>
      <c r="E692" s="29">
        <f>SUM(E693,E695,E697)</f>
        <v>12000000</v>
      </c>
      <c r="F692" s="29">
        <f>SUM(F693,F695,F697)</f>
        <v>0</v>
      </c>
      <c r="G692" s="25">
        <f t="shared" si="28"/>
        <v>12000000</v>
      </c>
    </row>
    <row r="693" spans="1:7" s="13" customFormat="1" ht="78.75">
      <c r="A693" s="28" t="s">
        <v>18</v>
      </c>
      <c r="B693" s="23" t="s">
        <v>498</v>
      </c>
      <c r="C693" s="19" t="s">
        <v>508</v>
      </c>
      <c r="D693" s="23" t="s">
        <v>19</v>
      </c>
      <c r="E693" s="29">
        <f>E694</f>
        <v>11560000</v>
      </c>
      <c r="F693" s="29">
        <f>F694</f>
        <v>0</v>
      </c>
      <c r="G693" s="25">
        <f t="shared" si="28"/>
        <v>11560000</v>
      </c>
    </row>
    <row r="694" spans="1:7" s="13" customFormat="1" ht="31.5">
      <c r="A694" s="28" t="s">
        <v>20</v>
      </c>
      <c r="B694" s="23" t="s">
        <v>498</v>
      </c>
      <c r="C694" s="19" t="s">
        <v>508</v>
      </c>
      <c r="D694" s="23" t="s">
        <v>21</v>
      </c>
      <c r="E694" s="29">
        <f>10000000+1560000</f>
        <v>11560000</v>
      </c>
      <c r="F694" s="29">
        <v>0</v>
      </c>
      <c r="G694" s="25">
        <f t="shared" si="28"/>
        <v>11560000</v>
      </c>
    </row>
    <row r="695" spans="1:7" s="13" customFormat="1" ht="31.5">
      <c r="A695" s="30" t="s">
        <v>22</v>
      </c>
      <c r="B695" s="23" t="s">
        <v>498</v>
      </c>
      <c r="C695" s="19" t="s">
        <v>508</v>
      </c>
      <c r="D695" s="23" t="s">
        <v>23</v>
      </c>
      <c r="E695" s="29">
        <f>E696</f>
        <v>430000</v>
      </c>
      <c r="F695" s="29">
        <f>F696</f>
        <v>0</v>
      </c>
      <c r="G695" s="25">
        <f t="shared" si="28"/>
        <v>430000</v>
      </c>
    </row>
    <row r="696" spans="1:7" s="13" customFormat="1" ht="31.5">
      <c r="A696" s="30" t="s">
        <v>24</v>
      </c>
      <c r="B696" s="23" t="s">
        <v>498</v>
      </c>
      <c r="C696" s="19" t="s">
        <v>508</v>
      </c>
      <c r="D696" s="23" t="s">
        <v>25</v>
      </c>
      <c r="E696" s="29">
        <v>430000</v>
      </c>
      <c r="F696" s="29">
        <v>0</v>
      </c>
      <c r="G696" s="25">
        <f t="shared" si="28"/>
        <v>430000</v>
      </c>
    </row>
    <row r="697" spans="1:7" s="13" customFormat="1" ht="15.75">
      <c r="A697" s="30" t="s">
        <v>26</v>
      </c>
      <c r="B697" s="23" t="s">
        <v>498</v>
      </c>
      <c r="C697" s="19" t="s">
        <v>508</v>
      </c>
      <c r="D697" s="23" t="s">
        <v>27</v>
      </c>
      <c r="E697" s="29">
        <f>E698</f>
        <v>10000</v>
      </c>
      <c r="F697" s="29">
        <f>F698</f>
        <v>0</v>
      </c>
      <c r="G697" s="25">
        <f t="shared" si="28"/>
        <v>10000</v>
      </c>
    </row>
    <row r="698" spans="1:7" s="13" customFormat="1" ht="15.75">
      <c r="A698" s="30" t="s">
        <v>28</v>
      </c>
      <c r="B698" s="23" t="s">
        <v>498</v>
      </c>
      <c r="C698" s="19" t="s">
        <v>508</v>
      </c>
      <c r="D698" s="23" t="s">
        <v>29</v>
      </c>
      <c r="E698" s="29">
        <v>10000</v>
      </c>
      <c r="F698" s="29">
        <v>0</v>
      </c>
      <c r="G698" s="25">
        <f t="shared" si="28"/>
        <v>10000</v>
      </c>
    </row>
    <row r="699" spans="1:7" s="13" customFormat="1" ht="31.5">
      <c r="A699" s="46" t="s">
        <v>509</v>
      </c>
      <c r="B699" s="23" t="s">
        <v>498</v>
      </c>
      <c r="C699" s="19" t="s">
        <v>510</v>
      </c>
      <c r="D699" s="19"/>
      <c r="E699" s="29">
        <f>SUM(E700,E702,E704)</f>
        <v>48242000</v>
      </c>
      <c r="F699" s="29">
        <f>SUM(F700,F702,F704)</f>
        <v>750000</v>
      </c>
      <c r="G699" s="25">
        <f t="shared" si="28"/>
        <v>48992000</v>
      </c>
    </row>
    <row r="700" spans="1:7" s="13" customFormat="1" ht="78.75">
      <c r="A700" s="28" t="s">
        <v>18</v>
      </c>
      <c r="B700" s="23" t="s">
        <v>498</v>
      </c>
      <c r="C700" s="19" t="s">
        <v>510</v>
      </c>
      <c r="D700" s="19">
        <v>100</v>
      </c>
      <c r="E700" s="29">
        <f>E701</f>
        <v>44717000</v>
      </c>
      <c r="F700" s="29">
        <f>F701</f>
        <v>0</v>
      </c>
      <c r="G700" s="25">
        <f t="shared" si="28"/>
        <v>44717000</v>
      </c>
    </row>
    <row r="701" spans="1:7" s="13" customFormat="1" ht="15.75">
      <c r="A701" s="28" t="s">
        <v>96</v>
      </c>
      <c r="B701" s="23" t="s">
        <v>498</v>
      </c>
      <c r="C701" s="19" t="s">
        <v>510</v>
      </c>
      <c r="D701" s="19">
        <v>110</v>
      </c>
      <c r="E701" s="29">
        <v>44717000</v>
      </c>
      <c r="F701" s="29">
        <v>0</v>
      </c>
      <c r="G701" s="25">
        <f t="shared" si="28"/>
        <v>44717000</v>
      </c>
    </row>
    <row r="702" spans="1:7" s="13" customFormat="1" ht="31.5">
      <c r="A702" s="30" t="s">
        <v>22</v>
      </c>
      <c r="B702" s="23" t="s">
        <v>498</v>
      </c>
      <c r="C702" s="19" t="s">
        <v>510</v>
      </c>
      <c r="D702" s="19">
        <v>200</v>
      </c>
      <c r="E702" s="29">
        <f>E703</f>
        <v>3500000</v>
      </c>
      <c r="F702" s="29">
        <f>F703</f>
        <v>750000</v>
      </c>
      <c r="G702" s="25">
        <f t="shared" si="28"/>
        <v>4250000</v>
      </c>
    </row>
    <row r="703" spans="1:7" s="13" customFormat="1" ht="31.5">
      <c r="A703" s="30" t="s">
        <v>24</v>
      </c>
      <c r="B703" s="23" t="s">
        <v>498</v>
      </c>
      <c r="C703" s="19" t="s">
        <v>510</v>
      </c>
      <c r="D703" s="19">
        <v>240</v>
      </c>
      <c r="E703" s="29">
        <v>3500000</v>
      </c>
      <c r="F703" s="29">
        <v>750000</v>
      </c>
      <c r="G703" s="25">
        <f t="shared" si="28"/>
        <v>4250000</v>
      </c>
    </row>
    <row r="704" spans="1:7" s="13" customFormat="1" ht="15.75">
      <c r="A704" s="30" t="s">
        <v>26</v>
      </c>
      <c r="B704" s="23" t="s">
        <v>498</v>
      </c>
      <c r="C704" s="19" t="s">
        <v>510</v>
      </c>
      <c r="D704" s="19">
        <v>800</v>
      </c>
      <c r="E704" s="29">
        <f>E705</f>
        <v>25000</v>
      </c>
      <c r="F704" s="29">
        <f>F705</f>
        <v>0</v>
      </c>
      <c r="G704" s="25">
        <f t="shared" si="28"/>
        <v>25000</v>
      </c>
    </row>
    <row r="705" spans="1:7" s="13" customFormat="1" ht="15.75">
      <c r="A705" s="30" t="s">
        <v>28</v>
      </c>
      <c r="B705" s="23" t="s">
        <v>498</v>
      </c>
      <c r="C705" s="19" t="s">
        <v>510</v>
      </c>
      <c r="D705" s="19">
        <v>850</v>
      </c>
      <c r="E705" s="65">
        <v>25000</v>
      </c>
      <c r="F705" s="29">
        <v>0</v>
      </c>
      <c r="G705" s="25">
        <f t="shared" si="28"/>
        <v>25000</v>
      </c>
    </row>
    <row r="706" spans="1:7" s="13" customFormat="1" ht="31.5">
      <c r="A706" s="46" t="s">
        <v>511</v>
      </c>
      <c r="B706" s="23" t="s">
        <v>498</v>
      </c>
      <c r="C706" s="19" t="s">
        <v>512</v>
      </c>
      <c r="D706" s="19"/>
      <c r="E706" s="29">
        <f>E707</f>
        <v>450000</v>
      </c>
      <c r="F706" s="29">
        <f>F707</f>
        <v>330000</v>
      </c>
      <c r="G706" s="25">
        <f t="shared" si="28"/>
        <v>780000</v>
      </c>
    </row>
    <row r="707" spans="1:7" s="13" customFormat="1" ht="15.75">
      <c r="A707" s="26" t="s">
        <v>42</v>
      </c>
      <c r="B707" s="23" t="s">
        <v>498</v>
      </c>
      <c r="C707" s="19" t="s">
        <v>512</v>
      </c>
      <c r="D707" s="19">
        <v>300</v>
      </c>
      <c r="E707" s="24">
        <f>E708</f>
        <v>450000</v>
      </c>
      <c r="F707" s="24">
        <f>F708</f>
        <v>330000</v>
      </c>
      <c r="G707" s="25">
        <f t="shared" si="28"/>
        <v>780000</v>
      </c>
    </row>
    <row r="708" spans="1:7" s="13" customFormat="1" ht="31.5">
      <c r="A708" s="26" t="s">
        <v>513</v>
      </c>
      <c r="B708" s="23" t="s">
        <v>498</v>
      </c>
      <c r="C708" s="19" t="s">
        <v>512</v>
      </c>
      <c r="D708" s="19">
        <v>330</v>
      </c>
      <c r="E708" s="29">
        <v>450000</v>
      </c>
      <c r="F708" s="29">
        <v>330000</v>
      </c>
      <c r="G708" s="25">
        <f t="shared" si="28"/>
        <v>780000</v>
      </c>
    </row>
    <row r="709" spans="1:7" s="13" customFormat="1" ht="15.75">
      <c r="A709" s="26" t="s">
        <v>514</v>
      </c>
      <c r="B709" s="23" t="s">
        <v>498</v>
      </c>
      <c r="C709" s="19" t="s">
        <v>515</v>
      </c>
      <c r="D709" s="19"/>
      <c r="E709" s="29">
        <f>E710</f>
        <v>300000</v>
      </c>
      <c r="F709" s="29">
        <f>F710</f>
        <v>0</v>
      </c>
      <c r="G709" s="25">
        <f t="shared" si="28"/>
        <v>300000</v>
      </c>
    </row>
    <row r="710" spans="1:7" s="13" customFormat="1" ht="31.5">
      <c r="A710" s="26" t="s">
        <v>103</v>
      </c>
      <c r="B710" s="23" t="s">
        <v>498</v>
      </c>
      <c r="C710" s="19" t="s">
        <v>515</v>
      </c>
      <c r="D710" s="19">
        <v>600</v>
      </c>
      <c r="E710" s="29">
        <f>E711</f>
        <v>300000</v>
      </c>
      <c r="F710" s="29">
        <f>F711</f>
        <v>0</v>
      </c>
      <c r="G710" s="25">
        <f t="shared" si="28"/>
        <v>300000</v>
      </c>
    </row>
    <row r="711" spans="1:7" s="13" customFormat="1" ht="15.75">
      <c r="A711" s="26" t="s">
        <v>104</v>
      </c>
      <c r="B711" s="23" t="s">
        <v>498</v>
      </c>
      <c r="C711" s="19" t="s">
        <v>515</v>
      </c>
      <c r="D711" s="19">
        <v>610</v>
      </c>
      <c r="E711" s="29">
        <v>300000</v>
      </c>
      <c r="F711" s="29">
        <v>0</v>
      </c>
      <c r="G711" s="25">
        <f t="shared" si="28"/>
        <v>300000</v>
      </c>
    </row>
    <row r="712" spans="1:7" s="13" customFormat="1" ht="15.75">
      <c r="A712" s="26" t="s">
        <v>12</v>
      </c>
      <c r="B712" s="23" t="s">
        <v>498</v>
      </c>
      <c r="C712" s="19" t="s">
        <v>13</v>
      </c>
      <c r="D712" s="19"/>
      <c r="E712" s="29">
        <f aca="true" t="shared" si="29" ref="E712:F715">E713</f>
        <v>0</v>
      </c>
      <c r="F712" s="29">
        <f t="shared" si="29"/>
        <v>290000</v>
      </c>
      <c r="G712" s="25">
        <f t="shared" si="28"/>
        <v>290000</v>
      </c>
    </row>
    <row r="713" spans="1:7" s="13" customFormat="1" ht="31.5">
      <c r="A713" s="26" t="s">
        <v>14</v>
      </c>
      <c r="B713" s="23" t="s">
        <v>498</v>
      </c>
      <c r="C713" s="19" t="s">
        <v>15</v>
      </c>
      <c r="D713" s="19"/>
      <c r="E713" s="29">
        <f t="shared" si="29"/>
        <v>0</v>
      </c>
      <c r="F713" s="29">
        <f t="shared" si="29"/>
        <v>290000</v>
      </c>
      <c r="G713" s="25">
        <f t="shared" si="28"/>
        <v>290000</v>
      </c>
    </row>
    <row r="714" spans="1:7" s="13" customFormat="1" ht="63">
      <c r="A714" s="26" t="s">
        <v>48</v>
      </c>
      <c r="B714" s="23" t="s">
        <v>498</v>
      </c>
      <c r="C714" s="19" t="s">
        <v>49</v>
      </c>
      <c r="D714" s="19"/>
      <c r="E714" s="29">
        <f t="shared" si="29"/>
        <v>0</v>
      </c>
      <c r="F714" s="29">
        <f t="shared" si="29"/>
        <v>290000</v>
      </c>
      <c r="G714" s="25">
        <f t="shared" si="28"/>
        <v>290000</v>
      </c>
    </row>
    <row r="715" spans="1:7" s="13" customFormat="1" ht="78.75">
      <c r="A715" s="28" t="s">
        <v>18</v>
      </c>
      <c r="B715" s="23" t="s">
        <v>498</v>
      </c>
      <c r="C715" s="19" t="s">
        <v>49</v>
      </c>
      <c r="D715" s="23" t="s">
        <v>19</v>
      </c>
      <c r="E715" s="29">
        <f t="shared" si="29"/>
        <v>0</v>
      </c>
      <c r="F715" s="29">
        <f t="shared" si="29"/>
        <v>290000</v>
      </c>
      <c r="G715" s="25">
        <f t="shared" si="28"/>
        <v>290000</v>
      </c>
    </row>
    <row r="716" spans="1:7" s="13" customFormat="1" ht="31.5">
      <c r="A716" s="28" t="s">
        <v>20</v>
      </c>
      <c r="B716" s="23" t="s">
        <v>498</v>
      </c>
      <c r="C716" s="19" t="s">
        <v>49</v>
      </c>
      <c r="D716" s="23" t="s">
        <v>21</v>
      </c>
      <c r="E716" s="29">
        <v>0</v>
      </c>
      <c r="F716" s="29">
        <v>290000</v>
      </c>
      <c r="G716" s="25">
        <f t="shared" si="28"/>
        <v>290000</v>
      </c>
    </row>
    <row r="717" spans="1:7" s="13" customFormat="1" ht="15.75">
      <c r="A717" s="14" t="s">
        <v>516</v>
      </c>
      <c r="B717" s="15" t="s">
        <v>517</v>
      </c>
      <c r="C717" s="19"/>
      <c r="D717" s="19"/>
      <c r="E717" s="50">
        <f>SUM(E718,E778,E789)</f>
        <v>233926000</v>
      </c>
      <c r="F717" s="50">
        <f>SUM(F718,F778,F789,)</f>
        <v>18155231</v>
      </c>
      <c r="G717" s="16">
        <f t="shared" si="28"/>
        <v>252081231</v>
      </c>
    </row>
    <row r="718" spans="1:7" s="13" customFormat="1" ht="15.75">
      <c r="A718" s="17" t="s">
        <v>518</v>
      </c>
      <c r="B718" s="18" t="s">
        <v>519</v>
      </c>
      <c r="C718" s="19"/>
      <c r="D718" s="19"/>
      <c r="E718" s="20">
        <f>E719+E765+E773</f>
        <v>190470000</v>
      </c>
      <c r="F718" s="20">
        <f>F719+F765+F773</f>
        <v>15034488</v>
      </c>
      <c r="G718" s="21">
        <f t="shared" si="28"/>
        <v>205504488</v>
      </c>
    </row>
    <row r="719" spans="1:7" s="13" customFormat="1" ht="31.5">
      <c r="A719" s="26" t="s">
        <v>475</v>
      </c>
      <c r="B719" s="23" t="s">
        <v>519</v>
      </c>
      <c r="C719" s="19" t="s">
        <v>476</v>
      </c>
      <c r="D719" s="19"/>
      <c r="E719" s="24">
        <f>SUM(E720,E751,E758)</f>
        <v>189870000</v>
      </c>
      <c r="F719" s="24">
        <f>SUM(F720,F751,F758)</f>
        <v>13034488</v>
      </c>
      <c r="G719" s="25">
        <f t="shared" si="28"/>
        <v>202904488</v>
      </c>
    </row>
    <row r="720" spans="1:7" s="13" customFormat="1" ht="31.5">
      <c r="A720" s="46" t="s">
        <v>520</v>
      </c>
      <c r="B720" s="23" t="s">
        <v>519</v>
      </c>
      <c r="C720" s="19" t="s">
        <v>521</v>
      </c>
      <c r="D720" s="19"/>
      <c r="E720" s="24">
        <f>SUM(E721,E725,E729,E736,E739,E745,E748,E742,E733)</f>
        <v>115770000</v>
      </c>
      <c r="F720" s="24">
        <f>SUM(F721,F725,F729,F736,F739,F745,F748,F742,F733)</f>
        <v>9460498</v>
      </c>
      <c r="G720" s="25">
        <f t="shared" si="28"/>
        <v>125230498</v>
      </c>
    </row>
    <row r="721" spans="1:7" s="13" customFormat="1" ht="15.75">
      <c r="A721" s="46" t="s">
        <v>522</v>
      </c>
      <c r="B721" s="23" t="s">
        <v>519</v>
      </c>
      <c r="C721" s="19" t="s">
        <v>523</v>
      </c>
      <c r="D721" s="19"/>
      <c r="E721" s="24">
        <f>SUM(E722)</f>
        <v>7000000</v>
      </c>
      <c r="F721" s="24">
        <f>SUM(F722)</f>
        <v>-2019288</v>
      </c>
      <c r="G721" s="25">
        <f t="shared" si="28"/>
        <v>4980712</v>
      </c>
    </row>
    <row r="722" spans="1:7" s="13" customFormat="1" ht="31.5">
      <c r="A722" s="26" t="s">
        <v>103</v>
      </c>
      <c r="B722" s="23" t="s">
        <v>519</v>
      </c>
      <c r="C722" s="19" t="s">
        <v>523</v>
      </c>
      <c r="D722" s="19">
        <v>600</v>
      </c>
      <c r="E722" s="24">
        <f>SUM(E723:E724)</f>
        <v>7000000</v>
      </c>
      <c r="F722" s="24">
        <f>SUM(F723:F724)</f>
        <v>-2019288</v>
      </c>
      <c r="G722" s="25">
        <f t="shared" si="28"/>
        <v>4980712</v>
      </c>
    </row>
    <row r="723" spans="1:7" s="13" customFormat="1" ht="15.75">
      <c r="A723" s="26" t="s">
        <v>104</v>
      </c>
      <c r="B723" s="23" t="s">
        <v>519</v>
      </c>
      <c r="C723" s="19" t="s">
        <v>523</v>
      </c>
      <c r="D723" s="19">
        <v>610</v>
      </c>
      <c r="E723" s="24">
        <v>6000000</v>
      </c>
      <c r="F723" s="29">
        <f>-2000000-1000000-330000+1833500+50000</f>
        <v>-1446500</v>
      </c>
      <c r="G723" s="25">
        <f t="shared" si="28"/>
        <v>4553500</v>
      </c>
    </row>
    <row r="724" spans="1:7" s="13" customFormat="1" ht="15.75">
      <c r="A724" s="26" t="s">
        <v>365</v>
      </c>
      <c r="B724" s="23" t="s">
        <v>519</v>
      </c>
      <c r="C724" s="19" t="s">
        <v>523</v>
      </c>
      <c r="D724" s="19">
        <v>620</v>
      </c>
      <c r="E724" s="24">
        <v>1000000</v>
      </c>
      <c r="F724" s="29">
        <f>-500000-139288+66500</f>
        <v>-572788</v>
      </c>
      <c r="G724" s="25">
        <f t="shared" si="28"/>
        <v>427212</v>
      </c>
    </row>
    <row r="725" spans="1:7" s="13" customFormat="1" ht="31.5">
      <c r="A725" s="46" t="s">
        <v>524</v>
      </c>
      <c r="B725" s="23" t="s">
        <v>519</v>
      </c>
      <c r="C725" s="19" t="s">
        <v>525</v>
      </c>
      <c r="D725" s="19"/>
      <c r="E725" s="24">
        <f>E726</f>
        <v>91700000</v>
      </c>
      <c r="F725" s="24">
        <f>F726</f>
        <v>2379786</v>
      </c>
      <c r="G725" s="25">
        <f t="shared" si="28"/>
        <v>94079786</v>
      </c>
    </row>
    <row r="726" spans="1:7" s="13" customFormat="1" ht="31.5">
      <c r="A726" s="26" t="s">
        <v>103</v>
      </c>
      <c r="B726" s="23" t="s">
        <v>519</v>
      </c>
      <c r="C726" s="19" t="s">
        <v>525</v>
      </c>
      <c r="D726" s="19">
        <v>600</v>
      </c>
      <c r="E726" s="24">
        <f>E727+E728</f>
        <v>91700000</v>
      </c>
      <c r="F726" s="24">
        <f>F727+F728</f>
        <v>2379786</v>
      </c>
      <c r="G726" s="25">
        <f t="shared" si="28"/>
        <v>94079786</v>
      </c>
    </row>
    <row r="727" spans="1:7" s="13" customFormat="1" ht="15.75">
      <c r="A727" s="26" t="s">
        <v>104</v>
      </c>
      <c r="B727" s="23" t="s">
        <v>519</v>
      </c>
      <c r="C727" s="19" t="s">
        <v>525</v>
      </c>
      <c r="D727" s="19">
        <v>610</v>
      </c>
      <c r="E727" s="29">
        <v>49500000</v>
      </c>
      <c r="F727" s="29">
        <v>2379786</v>
      </c>
      <c r="G727" s="25">
        <f t="shared" si="28"/>
        <v>51879786</v>
      </c>
    </row>
    <row r="728" spans="1:7" s="13" customFormat="1" ht="15.75">
      <c r="A728" s="26" t="s">
        <v>365</v>
      </c>
      <c r="B728" s="23" t="s">
        <v>519</v>
      </c>
      <c r="C728" s="19" t="s">
        <v>525</v>
      </c>
      <c r="D728" s="19">
        <v>620</v>
      </c>
      <c r="E728" s="29">
        <v>42200000</v>
      </c>
      <c r="F728" s="29">
        <v>0</v>
      </c>
      <c r="G728" s="25">
        <f t="shared" si="28"/>
        <v>42200000</v>
      </c>
    </row>
    <row r="729" spans="1:7" s="13" customFormat="1" ht="47.25">
      <c r="A729" s="46" t="s">
        <v>526</v>
      </c>
      <c r="B729" s="23" t="s">
        <v>519</v>
      </c>
      <c r="C729" s="19" t="s">
        <v>527</v>
      </c>
      <c r="D729" s="19"/>
      <c r="E729" s="24">
        <f>E730</f>
        <v>10000000</v>
      </c>
      <c r="F729" s="24">
        <f>F730</f>
        <v>336041.04000000004</v>
      </c>
      <c r="G729" s="25">
        <f t="shared" si="28"/>
        <v>10336041.04</v>
      </c>
    </row>
    <row r="730" spans="1:7" s="13" customFormat="1" ht="31.5">
      <c r="A730" s="26" t="s">
        <v>103</v>
      </c>
      <c r="B730" s="23" t="s">
        <v>519</v>
      </c>
      <c r="C730" s="19" t="s">
        <v>527</v>
      </c>
      <c r="D730" s="19">
        <v>600</v>
      </c>
      <c r="E730" s="24">
        <f>E731+E732</f>
        <v>10000000</v>
      </c>
      <c r="F730" s="24">
        <f>F731+F732</f>
        <v>336041.04000000004</v>
      </c>
      <c r="G730" s="25">
        <f t="shared" si="28"/>
        <v>10336041.04</v>
      </c>
    </row>
    <row r="731" spans="1:7" s="13" customFormat="1" ht="15.75">
      <c r="A731" s="26" t="s">
        <v>104</v>
      </c>
      <c r="B731" s="23" t="s">
        <v>519</v>
      </c>
      <c r="C731" s="19" t="s">
        <v>527</v>
      </c>
      <c r="D731" s="19">
        <v>610</v>
      </c>
      <c r="E731" s="24">
        <v>8000000</v>
      </c>
      <c r="F731" s="29">
        <f>-8958.96+202000+45000+98000</f>
        <v>336041.04000000004</v>
      </c>
      <c r="G731" s="25">
        <f t="shared" si="28"/>
        <v>8336041.04</v>
      </c>
    </row>
    <row r="732" spans="1:7" s="13" customFormat="1" ht="15.75">
      <c r="A732" s="26" t="s">
        <v>365</v>
      </c>
      <c r="B732" s="23" t="s">
        <v>519</v>
      </c>
      <c r="C732" s="19" t="s">
        <v>527</v>
      </c>
      <c r="D732" s="19">
        <v>620</v>
      </c>
      <c r="E732" s="24">
        <v>2000000</v>
      </c>
      <c r="F732" s="29">
        <v>0</v>
      </c>
      <c r="G732" s="25">
        <f t="shared" si="28"/>
        <v>2000000</v>
      </c>
    </row>
    <row r="733" spans="1:7" s="13" customFormat="1" ht="78.75">
      <c r="A733" s="26" t="s">
        <v>528</v>
      </c>
      <c r="B733" s="23" t="s">
        <v>519</v>
      </c>
      <c r="C733" s="19" t="s">
        <v>529</v>
      </c>
      <c r="D733" s="19"/>
      <c r="E733" s="24">
        <f>E734</f>
        <v>0</v>
      </c>
      <c r="F733" s="24">
        <f>F734</f>
        <v>8958958.96</v>
      </c>
      <c r="G733" s="25">
        <f t="shared" si="28"/>
        <v>8958958.96</v>
      </c>
    </row>
    <row r="734" spans="1:7" s="13" customFormat="1" ht="31.5">
      <c r="A734" s="26" t="s">
        <v>103</v>
      </c>
      <c r="B734" s="23" t="s">
        <v>519</v>
      </c>
      <c r="C734" s="19" t="s">
        <v>529</v>
      </c>
      <c r="D734" s="19">
        <v>600</v>
      </c>
      <c r="E734" s="24">
        <f>E735</f>
        <v>0</v>
      </c>
      <c r="F734" s="24">
        <f>F735</f>
        <v>8958958.96</v>
      </c>
      <c r="G734" s="25">
        <f t="shared" si="28"/>
        <v>8958958.96</v>
      </c>
    </row>
    <row r="735" spans="1:7" s="13" customFormat="1" ht="15.75">
      <c r="A735" s="26" t="s">
        <v>104</v>
      </c>
      <c r="B735" s="23" t="s">
        <v>519</v>
      </c>
      <c r="C735" s="19" t="s">
        <v>529</v>
      </c>
      <c r="D735" s="19">
        <v>610</v>
      </c>
      <c r="E735" s="24">
        <v>0</v>
      </c>
      <c r="F735" s="24">
        <v>8958958.96</v>
      </c>
      <c r="G735" s="25">
        <f aca="true" t="shared" si="30" ref="G735:G798">SUM(E735:F735)</f>
        <v>8958958.96</v>
      </c>
    </row>
    <row r="736" spans="1:7" s="13" customFormat="1" ht="47.25">
      <c r="A736" s="46" t="s">
        <v>530</v>
      </c>
      <c r="B736" s="23" t="s">
        <v>519</v>
      </c>
      <c r="C736" s="19" t="s">
        <v>531</v>
      </c>
      <c r="D736" s="19"/>
      <c r="E736" s="24">
        <f>E737</f>
        <v>6000000</v>
      </c>
      <c r="F736" s="24">
        <f>F737</f>
        <v>0</v>
      </c>
      <c r="G736" s="25">
        <f t="shared" si="30"/>
        <v>6000000</v>
      </c>
    </row>
    <row r="737" spans="1:7" s="13" customFormat="1" ht="15.75">
      <c r="A737" s="26" t="s">
        <v>26</v>
      </c>
      <c r="B737" s="23" t="s">
        <v>519</v>
      </c>
      <c r="C737" s="19" t="s">
        <v>531</v>
      </c>
      <c r="D737" s="19">
        <v>800</v>
      </c>
      <c r="E737" s="24">
        <f>E738</f>
        <v>6000000</v>
      </c>
      <c r="F737" s="24">
        <f>F738</f>
        <v>0</v>
      </c>
      <c r="G737" s="25">
        <f t="shared" si="30"/>
        <v>6000000</v>
      </c>
    </row>
    <row r="738" spans="1:7" s="13" customFormat="1" ht="47.25">
      <c r="A738" s="26" t="s">
        <v>207</v>
      </c>
      <c r="B738" s="23" t="s">
        <v>519</v>
      </c>
      <c r="C738" s="19" t="s">
        <v>531</v>
      </c>
      <c r="D738" s="19">
        <v>810</v>
      </c>
      <c r="E738" s="24">
        <v>6000000</v>
      </c>
      <c r="F738" s="29">
        <v>0</v>
      </c>
      <c r="G738" s="25">
        <f t="shared" si="30"/>
        <v>6000000</v>
      </c>
    </row>
    <row r="739" spans="1:7" s="13" customFormat="1" ht="31.5">
      <c r="A739" s="26" t="s">
        <v>532</v>
      </c>
      <c r="B739" s="23" t="s">
        <v>519</v>
      </c>
      <c r="C739" s="19" t="s">
        <v>533</v>
      </c>
      <c r="D739" s="19"/>
      <c r="E739" s="24">
        <f>E740</f>
        <v>300000</v>
      </c>
      <c r="F739" s="24">
        <f>F740</f>
        <v>0</v>
      </c>
      <c r="G739" s="25">
        <f t="shared" si="30"/>
        <v>300000</v>
      </c>
    </row>
    <row r="740" spans="1:7" s="13" customFormat="1" ht="31.5">
      <c r="A740" s="30" t="s">
        <v>22</v>
      </c>
      <c r="B740" s="23" t="s">
        <v>519</v>
      </c>
      <c r="C740" s="19" t="s">
        <v>533</v>
      </c>
      <c r="D740" s="19">
        <v>200</v>
      </c>
      <c r="E740" s="24">
        <f>SUM(E741:E741)</f>
        <v>300000</v>
      </c>
      <c r="F740" s="24">
        <f>SUM(F741:F741)</f>
        <v>0</v>
      </c>
      <c r="G740" s="25">
        <f t="shared" si="30"/>
        <v>300000</v>
      </c>
    </row>
    <row r="741" spans="1:7" s="13" customFormat="1" ht="31.5">
      <c r="A741" s="30" t="s">
        <v>24</v>
      </c>
      <c r="B741" s="23" t="s">
        <v>519</v>
      </c>
      <c r="C741" s="19" t="s">
        <v>533</v>
      </c>
      <c r="D741" s="19">
        <v>240</v>
      </c>
      <c r="E741" s="24">
        <v>300000</v>
      </c>
      <c r="F741" s="29">
        <v>0</v>
      </c>
      <c r="G741" s="25">
        <f t="shared" si="30"/>
        <v>300000</v>
      </c>
    </row>
    <row r="742" spans="1:7" s="13" customFormat="1" ht="31.5">
      <c r="A742" s="30" t="s">
        <v>534</v>
      </c>
      <c r="B742" s="23" t="s">
        <v>519</v>
      </c>
      <c r="C742" s="19" t="s">
        <v>535</v>
      </c>
      <c r="D742" s="19"/>
      <c r="E742" s="24">
        <f>E743</f>
        <v>0</v>
      </c>
      <c r="F742" s="29">
        <f>F743</f>
        <v>200000</v>
      </c>
      <c r="G742" s="25">
        <f t="shared" si="30"/>
        <v>200000</v>
      </c>
    </row>
    <row r="743" spans="1:7" s="13" customFormat="1" ht="31.5">
      <c r="A743" s="26" t="s">
        <v>103</v>
      </c>
      <c r="B743" s="23" t="s">
        <v>519</v>
      </c>
      <c r="C743" s="19" t="s">
        <v>535</v>
      </c>
      <c r="D743" s="19">
        <v>600</v>
      </c>
      <c r="E743" s="24">
        <f>E744</f>
        <v>0</v>
      </c>
      <c r="F743" s="29">
        <f>F744</f>
        <v>200000</v>
      </c>
      <c r="G743" s="25">
        <f t="shared" si="30"/>
        <v>200000</v>
      </c>
    </row>
    <row r="744" spans="1:7" s="13" customFormat="1" ht="15.75">
      <c r="A744" s="26" t="s">
        <v>104</v>
      </c>
      <c r="B744" s="23" t="s">
        <v>519</v>
      </c>
      <c r="C744" s="19" t="s">
        <v>535</v>
      </c>
      <c r="D744" s="19">
        <v>610</v>
      </c>
      <c r="E744" s="24">
        <v>0</v>
      </c>
      <c r="F744" s="29">
        <v>200000</v>
      </c>
      <c r="G744" s="25">
        <f t="shared" si="30"/>
        <v>200000</v>
      </c>
    </row>
    <row r="745" spans="1:7" s="13" customFormat="1" ht="31.5">
      <c r="A745" s="46" t="s">
        <v>536</v>
      </c>
      <c r="B745" s="23" t="s">
        <v>519</v>
      </c>
      <c r="C745" s="19" t="s">
        <v>537</v>
      </c>
      <c r="D745" s="19"/>
      <c r="E745" s="29">
        <f>E746</f>
        <v>370000</v>
      </c>
      <c r="F745" s="29">
        <f>F746</f>
        <v>-85000</v>
      </c>
      <c r="G745" s="25">
        <f t="shared" si="30"/>
        <v>285000</v>
      </c>
    </row>
    <row r="746" spans="1:7" s="13" customFormat="1" ht="31.5">
      <c r="A746" s="26" t="s">
        <v>103</v>
      </c>
      <c r="B746" s="23" t="s">
        <v>519</v>
      </c>
      <c r="C746" s="19" t="s">
        <v>537</v>
      </c>
      <c r="D746" s="19">
        <v>600</v>
      </c>
      <c r="E746" s="29">
        <f>E747</f>
        <v>370000</v>
      </c>
      <c r="F746" s="29">
        <f>F747</f>
        <v>-85000</v>
      </c>
      <c r="G746" s="25">
        <f t="shared" si="30"/>
        <v>285000</v>
      </c>
    </row>
    <row r="747" spans="1:7" s="13" customFormat="1" ht="15.75">
      <c r="A747" s="26" t="s">
        <v>104</v>
      </c>
      <c r="B747" s="23" t="s">
        <v>519</v>
      </c>
      <c r="C747" s="19" t="s">
        <v>537</v>
      </c>
      <c r="D747" s="19">
        <v>610</v>
      </c>
      <c r="E747" s="29">
        <v>370000</v>
      </c>
      <c r="F747" s="29">
        <f>-45000-40000</f>
        <v>-85000</v>
      </c>
      <c r="G747" s="25">
        <f t="shared" si="30"/>
        <v>285000</v>
      </c>
    </row>
    <row r="748" spans="1:7" s="13" customFormat="1" ht="15.75">
      <c r="A748" s="26" t="s">
        <v>538</v>
      </c>
      <c r="B748" s="23" t="s">
        <v>519</v>
      </c>
      <c r="C748" s="19" t="s">
        <v>539</v>
      </c>
      <c r="D748" s="19"/>
      <c r="E748" s="29">
        <f>E749</f>
        <v>400000</v>
      </c>
      <c r="F748" s="29">
        <f>F749</f>
        <v>-310000</v>
      </c>
      <c r="G748" s="25">
        <f t="shared" si="30"/>
        <v>90000</v>
      </c>
    </row>
    <row r="749" spans="1:7" s="13" customFormat="1" ht="31.5">
      <c r="A749" s="26" t="s">
        <v>103</v>
      </c>
      <c r="B749" s="23" t="s">
        <v>519</v>
      </c>
      <c r="C749" s="19" t="s">
        <v>539</v>
      </c>
      <c r="D749" s="19">
        <v>600</v>
      </c>
      <c r="E749" s="29">
        <f>E750</f>
        <v>400000</v>
      </c>
      <c r="F749" s="29">
        <f>F750</f>
        <v>-310000</v>
      </c>
      <c r="G749" s="25">
        <f t="shared" si="30"/>
        <v>90000</v>
      </c>
    </row>
    <row r="750" spans="1:7" s="13" customFormat="1" ht="15.75">
      <c r="A750" s="26" t="s">
        <v>104</v>
      </c>
      <c r="B750" s="23" t="s">
        <v>519</v>
      </c>
      <c r="C750" s="19" t="s">
        <v>539</v>
      </c>
      <c r="D750" s="19">
        <v>610</v>
      </c>
      <c r="E750" s="29">
        <v>400000</v>
      </c>
      <c r="F750" s="29">
        <f>-202000-50000-58000</f>
        <v>-310000</v>
      </c>
      <c r="G750" s="25">
        <f t="shared" si="30"/>
        <v>90000</v>
      </c>
    </row>
    <row r="751" spans="1:7" s="13" customFormat="1" ht="31.5">
      <c r="A751" s="46" t="s">
        <v>540</v>
      </c>
      <c r="B751" s="23" t="s">
        <v>519</v>
      </c>
      <c r="C751" s="19" t="s">
        <v>541</v>
      </c>
      <c r="D751" s="19"/>
      <c r="E751" s="24">
        <f>SUM(E752,E755)</f>
        <v>49000000</v>
      </c>
      <c r="F751" s="24">
        <f>SUM(F752,F755)</f>
        <v>906192</v>
      </c>
      <c r="G751" s="25">
        <f t="shared" si="30"/>
        <v>49906192</v>
      </c>
    </row>
    <row r="752" spans="1:7" s="13" customFormat="1" ht="31.5">
      <c r="A752" s="46" t="s">
        <v>542</v>
      </c>
      <c r="B752" s="23" t="s">
        <v>519</v>
      </c>
      <c r="C752" s="19" t="s">
        <v>543</v>
      </c>
      <c r="D752" s="19"/>
      <c r="E752" s="24">
        <f>E753</f>
        <v>47400000</v>
      </c>
      <c r="F752" s="24">
        <f>F753</f>
        <v>826192</v>
      </c>
      <c r="G752" s="25">
        <f t="shared" si="30"/>
        <v>48226192</v>
      </c>
    </row>
    <row r="753" spans="1:7" s="13" customFormat="1" ht="31.5">
      <c r="A753" s="26" t="s">
        <v>103</v>
      </c>
      <c r="B753" s="23" t="s">
        <v>519</v>
      </c>
      <c r="C753" s="19" t="s">
        <v>543</v>
      </c>
      <c r="D753" s="19">
        <v>600</v>
      </c>
      <c r="E753" s="24">
        <f>E754</f>
        <v>47400000</v>
      </c>
      <c r="F753" s="24">
        <f>F754</f>
        <v>826192</v>
      </c>
      <c r="G753" s="25">
        <f t="shared" si="30"/>
        <v>48226192</v>
      </c>
    </row>
    <row r="754" spans="1:7" s="13" customFormat="1" ht="15.75">
      <c r="A754" s="26" t="s">
        <v>104</v>
      </c>
      <c r="B754" s="23" t="s">
        <v>519</v>
      </c>
      <c r="C754" s="19" t="s">
        <v>543</v>
      </c>
      <c r="D754" s="19">
        <v>610</v>
      </c>
      <c r="E754" s="24">
        <v>47400000</v>
      </c>
      <c r="F754" s="29">
        <f>-80000+906192</f>
        <v>826192</v>
      </c>
      <c r="G754" s="25">
        <f t="shared" si="30"/>
        <v>48226192</v>
      </c>
    </row>
    <row r="755" spans="1:7" s="13" customFormat="1" ht="47.25">
      <c r="A755" s="46" t="s">
        <v>544</v>
      </c>
      <c r="B755" s="23" t="s">
        <v>519</v>
      </c>
      <c r="C755" s="19" t="s">
        <v>545</v>
      </c>
      <c r="D755" s="19"/>
      <c r="E755" s="24">
        <f>E756</f>
        <v>1600000</v>
      </c>
      <c r="F755" s="24">
        <f>F756</f>
        <v>80000</v>
      </c>
      <c r="G755" s="25">
        <f t="shared" si="30"/>
        <v>1680000</v>
      </c>
    </row>
    <row r="756" spans="1:7" s="13" customFormat="1" ht="31.5">
      <c r="A756" s="26" t="s">
        <v>103</v>
      </c>
      <c r="B756" s="23" t="s">
        <v>519</v>
      </c>
      <c r="C756" s="19" t="s">
        <v>545</v>
      </c>
      <c r="D756" s="19">
        <v>600</v>
      </c>
      <c r="E756" s="24">
        <f>E757</f>
        <v>1600000</v>
      </c>
      <c r="F756" s="24">
        <f>F757</f>
        <v>80000</v>
      </c>
      <c r="G756" s="25">
        <f t="shared" si="30"/>
        <v>1680000</v>
      </c>
    </row>
    <row r="757" spans="1:7" s="13" customFormat="1" ht="15.75">
      <c r="A757" s="26" t="s">
        <v>104</v>
      </c>
      <c r="B757" s="23" t="s">
        <v>519</v>
      </c>
      <c r="C757" s="19" t="s">
        <v>545</v>
      </c>
      <c r="D757" s="19">
        <v>610</v>
      </c>
      <c r="E757" s="24">
        <v>1600000</v>
      </c>
      <c r="F757" s="29">
        <v>80000</v>
      </c>
      <c r="G757" s="25">
        <f t="shared" si="30"/>
        <v>1680000</v>
      </c>
    </row>
    <row r="758" spans="1:7" s="13" customFormat="1" ht="31.5">
      <c r="A758" s="46" t="s">
        <v>546</v>
      </c>
      <c r="B758" s="23" t="s">
        <v>519</v>
      </c>
      <c r="C758" s="19" t="s">
        <v>547</v>
      </c>
      <c r="D758" s="19"/>
      <c r="E758" s="24">
        <f>SUM(E759,E762)</f>
        <v>25100000</v>
      </c>
      <c r="F758" s="24">
        <f>SUM(F759,F762)</f>
        <v>2667798</v>
      </c>
      <c r="G758" s="25">
        <f t="shared" si="30"/>
        <v>27767798</v>
      </c>
    </row>
    <row r="759" spans="1:7" s="13" customFormat="1" ht="15.75">
      <c r="A759" s="46" t="s">
        <v>548</v>
      </c>
      <c r="B759" s="23" t="s">
        <v>519</v>
      </c>
      <c r="C759" s="19" t="s">
        <v>549</v>
      </c>
      <c r="D759" s="19"/>
      <c r="E759" s="24">
        <f>E760</f>
        <v>23100000</v>
      </c>
      <c r="F759" s="24">
        <f>F760</f>
        <v>2667798</v>
      </c>
      <c r="G759" s="25">
        <f t="shared" si="30"/>
        <v>25767798</v>
      </c>
    </row>
    <row r="760" spans="1:7" s="13" customFormat="1" ht="31.5">
      <c r="A760" s="26" t="s">
        <v>103</v>
      </c>
      <c r="B760" s="23" t="s">
        <v>519</v>
      </c>
      <c r="C760" s="19" t="s">
        <v>549</v>
      </c>
      <c r="D760" s="19">
        <v>600</v>
      </c>
      <c r="E760" s="24">
        <f>E761</f>
        <v>23100000</v>
      </c>
      <c r="F760" s="24">
        <f>F761</f>
        <v>2667798</v>
      </c>
      <c r="G760" s="25">
        <f t="shared" si="30"/>
        <v>25767798</v>
      </c>
    </row>
    <row r="761" spans="1:7" s="13" customFormat="1" ht="15.75">
      <c r="A761" s="26" t="s">
        <v>104</v>
      </c>
      <c r="B761" s="23" t="s">
        <v>519</v>
      </c>
      <c r="C761" s="19" t="s">
        <v>549</v>
      </c>
      <c r="D761" s="19">
        <v>610</v>
      </c>
      <c r="E761" s="24">
        <v>23100000</v>
      </c>
      <c r="F761" s="29">
        <f>205716+2462082</f>
        <v>2667798</v>
      </c>
      <c r="G761" s="25">
        <f t="shared" si="30"/>
        <v>25767798</v>
      </c>
    </row>
    <row r="762" spans="1:7" s="13" customFormat="1" ht="31.5">
      <c r="A762" s="46" t="s">
        <v>550</v>
      </c>
      <c r="B762" s="23" t="s">
        <v>519</v>
      </c>
      <c r="C762" s="19" t="s">
        <v>551</v>
      </c>
      <c r="D762" s="19"/>
      <c r="E762" s="24">
        <f>E763</f>
        <v>2000000</v>
      </c>
      <c r="F762" s="24">
        <f>F763</f>
        <v>0</v>
      </c>
      <c r="G762" s="25">
        <f t="shared" si="30"/>
        <v>2000000</v>
      </c>
    </row>
    <row r="763" spans="1:7" s="13" customFormat="1" ht="31.5">
      <c r="A763" s="26" t="s">
        <v>103</v>
      </c>
      <c r="B763" s="23" t="s">
        <v>519</v>
      </c>
      <c r="C763" s="19" t="s">
        <v>551</v>
      </c>
      <c r="D763" s="19">
        <v>600</v>
      </c>
      <c r="E763" s="24">
        <f>E764</f>
        <v>2000000</v>
      </c>
      <c r="F763" s="24">
        <f>F764</f>
        <v>0</v>
      </c>
      <c r="G763" s="25">
        <f t="shared" si="30"/>
        <v>2000000</v>
      </c>
    </row>
    <row r="764" spans="1:7" s="13" customFormat="1" ht="15.75">
      <c r="A764" s="26" t="s">
        <v>104</v>
      </c>
      <c r="B764" s="23" t="s">
        <v>519</v>
      </c>
      <c r="C764" s="19" t="s">
        <v>551</v>
      </c>
      <c r="D764" s="19">
        <v>610</v>
      </c>
      <c r="E764" s="24">
        <v>2000000</v>
      </c>
      <c r="F764" s="29">
        <v>0</v>
      </c>
      <c r="G764" s="25">
        <f t="shared" si="30"/>
        <v>2000000</v>
      </c>
    </row>
    <row r="765" spans="1:7" s="13" customFormat="1" ht="31.5">
      <c r="A765" s="26" t="s">
        <v>212</v>
      </c>
      <c r="B765" s="23" t="s">
        <v>519</v>
      </c>
      <c r="C765" s="19" t="s">
        <v>213</v>
      </c>
      <c r="D765" s="19"/>
      <c r="E765" s="24">
        <f>E766</f>
        <v>600000</v>
      </c>
      <c r="F765" s="24">
        <f>F766</f>
        <v>0</v>
      </c>
      <c r="G765" s="25">
        <f t="shared" si="30"/>
        <v>600000</v>
      </c>
    </row>
    <row r="766" spans="1:7" s="13" customFormat="1" ht="15.75">
      <c r="A766" s="22" t="s">
        <v>214</v>
      </c>
      <c r="B766" s="23" t="s">
        <v>519</v>
      </c>
      <c r="C766" s="19" t="s">
        <v>215</v>
      </c>
      <c r="D766" s="19"/>
      <c r="E766" s="24">
        <f>SUM(E767,E770)</f>
        <v>600000</v>
      </c>
      <c r="F766" s="24">
        <f>SUM(F767,F770)</f>
        <v>0</v>
      </c>
      <c r="G766" s="25">
        <f t="shared" si="30"/>
        <v>600000</v>
      </c>
    </row>
    <row r="767" spans="1:7" s="13" customFormat="1" ht="78.75">
      <c r="A767" s="26" t="s">
        <v>552</v>
      </c>
      <c r="B767" s="23" t="s">
        <v>519</v>
      </c>
      <c r="C767" s="19" t="s">
        <v>553</v>
      </c>
      <c r="D767" s="19"/>
      <c r="E767" s="24">
        <f>E768</f>
        <v>450000</v>
      </c>
      <c r="F767" s="24">
        <f>F768</f>
        <v>0</v>
      </c>
      <c r="G767" s="25">
        <f t="shared" si="30"/>
        <v>450000</v>
      </c>
    </row>
    <row r="768" spans="1:7" s="13" customFormat="1" ht="31.5">
      <c r="A768" s="26" t="s">
        <v>103</v>
      </c>
      <c r="B768" s="23" t="s">
        <v>519</v>
      </c>
      <c r="C768" s="19" t="s">
        <v>553</v>
      </c>
      <c r="D768" s="19">
        <v>600</v>
      </c>
      <c r="E768" s="24">
        <f>E769</f>
        <v>450000</v>
      </c>
      <c r="F768" s="24">
        <f>F769</f>
        <v>0</v>
      </c>
      <c r="G768" s="25">
        <f t="shared" si="30"/>
        <v>450000</v>
      </c>
    </row>
    <row r="769" spans="1:7" s="13" customFormat="1" ht="15.75">
      <c r="A769" s="26" t="s">
        <v>104</v>
      </c>
      <c r="B769" s="23" t="s">
        <v>519</v>
      </c>
      <c r="C769" s="19" t="s">
        <v>553</v>
      </c>
      <c r="D769" s="19">
        <v>610</v>
      </c>
      <c r="E769" s="24">
        <v>450000</v>
      </c>
      <c r="F769" s="29">
        <v>0</v>
      </c>
      <c r="G769" s="25">
        <f t="shared" si="30"/>
        <v>450000</v>
      </c>
    </row>
    <row r="770" spans="1:7" s="13" customFormat="1" ht="31.5">
      <c r="A770" s="26" t="s">
        <v>554</v>
      </c>
      <c r="B770" s="23" t="s">
        <v>519</v>
      </c>
      <c r="C770" s="19" t="s">
        <v>555</v>
      </c>
      <c r="D770" s="19"/>
      <c r="E770" s="24">
        <f>E771</f>
        <v>150000</v>
      </c>
      <c r="F770" s="24">
        <f>F771</f>
        <v>0</v>
      </c>
      <c r="G770" s="25">
        <f t="shared" si="30"/>
        <v>150000</v>
      </c>
    </row>
    <row r="771" spans="1:7" s="13" customFormat="1" ht="31.5">
      <c r="A771" s="26" t="s">
        <v>103</v>
      </c>
      <c r="B771" s="23" t="s">
        <v>519</v>
      </c>
      <c r="C771" s="19" t="s">
        <v>555</v>
      </c>
      <c r="D771" s="19">
        <v>600</v>
      </c>
      <c r="E771" s="24">
        <f>E772</f>
        <v>150000</v>
      </c>
      <c r="F771" s="24">
        <f>F772</f>
        <v>0</v>
      </c>
      <c r="G771" s="25">
        <f t="shared" si="30"/>
        <v>150000</v>
      </c>
    </row>
    <row r="772" spans="1:7" s="13" customFormat="1" ht="15.75">
      <c r="A772" s="26" t="s">
        <v>104</v>
      </c>
      <c r="B772" s="23" t="s">
        <v>519</v>
      </c>
      <c r="C772" s="19" t="s">
        <v>555</v>
      </c>
      <c r="D772" s="19">
        <v>610</v>
      </c>
      <c r="E772" s="24">
        <v>150000</v>
      </c>
      <c r="F772" s="29">
        <v>0</v>
      </c>
      <c r="G772" s="25">
        <f t="shared" si="30"/>
        <v>150000</v>
      </c>
    </row>
    <row r="773" spans="1:7" s="13" customFormat="1" ht="15.75">
      <c r="A773" s="26" t="s">
        <v>12</v>
      </c>
      <c r="B773" s="23" t="s">
        <v>519</v>
      </c>
      <c r="C773" s="19" t="s">
        <v>13</v>
      </c>
      <c r="D773" s="19"/>
      <c r="E773" s="24">
        <f aca="true" t="shared" si="31" ref="E773:F776">E774</f>
        <v>0</v>
      </c>
      <c r="F773" s="29">
        <f t="shared" si="31"/>
        <v>2000000</v>
      </c>
      <c r="G773" s="25">
        <f t="shared" si="30"/>
        <v>2000000</v>
      </c>
    </row>
    <row r="774" spans="1:7" s="13" customFormat="1" ht="31.5">
      <c r="A774" s="26" t="s">
        <v>67</v>
      </c>
      <c r="B774" s="23" t="s">
        <v>519</v>
      </c>
      <c r="C774" s="19" t="s">
        <v>68</v>
      </c>
      <c r="D774" s="19"/>
      <c r="E774" s="24">
        <f t="shared" si="31"/>
        <v>0</v>
      </c>
      <c r="F774" s="29">
        <f t="shared" si="31"/>
        <v>2000000</v>
      </c>
      <c r="G774" s="25">
        <f t="shared" si="30"/>
        <v>2000000</v>
      </c>
    </row>
    <row r="775" spans="1:7" s="13" customFormat="1" ht="31.5">
      <c r="A775" s="26" t="s">
        <v>556</v>
      </c>
      <c r="B775" s="23" t="s">
        <v>519</v>
      </c>
      <c r="C775" s="19" t="s">
        <v>557</v>
      </c>
      <c r="D775" s="19"/>
      <c r="E775" s="24">
        <f t="shared" si="31"/>
        <v>0</v>
      </c>
      <c r="F775" s="29">
        <f t="shared" si="31"/>
        <v>2000000</v>
      </c>
      <c r="G775" s="25">
        <f t="shared" si="30"/>
        <v>2000000</v>
      </c>
    </row>
    <row r="776" spans="1:7" s="13" customFormat="1" ht="15.75">
      <c r="A776" s="26" t="s">
        <v>26</v>
      </c>
      <c r="B776" s="23" t="s">
        <v>519</v>
      </c>
      <c r="C776" s="19" t="s">
        <v>557</v>
      </c>
      <c r="D776" s="19">
        <v>800</v>
      </c>
      <c r="E776" s="24">
        <f t="shared" si="31"/>
        <v>0</v>
      </c>
      <c r="F776" s="29">
        <f t="shared" si="31"/>
        <v>2000000</v>
      </c>
      <c r="G776" s="25">
        <f t="shared" si="30"/>
        <v>2000000</v>
      </c>
    </row>
    <row r="777" spans="1:7" s="13" customFormat="1" ht="47.25">
      <c r="A777" s="26" t="s">
        <v>207</v>
      </c>
      <c r="B777" s="23" t="s">
        <v>519</v>
      </c>
      <c r="C777" s="19" t="s">
        <v>557</v>
      </c>
      <c r="D777" s="19">
        <v>810</v>
      </c>
      <c r="E777" s="24">
        <v>0</v>
      </c>
      <c r="F777" s="29">
        <v>2000000</v>
      </c>
      <c r="G777" s="25">
        <f t="shared" si="30"/>
        <v>2000000</v>
      </c>
    </row>
    <row r="778" spans="1:7" s="13" customFormat="1" ht="15.75">
      <c r="A778" s="17" t="s">
        <v>558</v>
      </c>
      <c r="B778" s="18" t="s">
        <v>559</v>
      </c>
      <c r="C778" s="44"/>
      <c r="D778" s="44"/>
      <c r="E778" s="20">
        <f>E779+E784</f>
        <v>1500000</v>
      </c>
      <c r="F778" s="20">
        <f>F779+F784</f>
        <v>3000000</v>
      </c>
      <c r="G778" s="21">
        <f t="shared" si="30"/>
        <v>4500000</v>
      </c>
    </row>
    <row r="779" spans="1:7" s="13" customFormat="1" ht="31.5">
      <c r="A779" s="26" t="s">
        <v>475</v>
      </c>
      <c r="B779" s="23" t="s">
        <v>559</v>
      </c>
      <c r="C779" s="19" t="s">
        <v>476</v>
      </c>
      <c r="D779" s="44"/>
      <c r="E779" s="24">
        <f aca="true" t="shared" si="32" ref="E779:F782">E780</f>
        <v>1500000</v>
      </c>
      <c r="F779" s="24">
        <f t="shared" si="32"/>
        <v>0</v>
      </c>
      <c r="G779" s="25">
        <f t="shared" si="30"/>
        <v>1500000</v>
      </c>
    </row>
    <row r="780" spans="1:7" s="13" customFormat="1" ht="31.5">
      <c r="A780" s="46" t="s">
        <v>520</v>
      </c>
      <c r="B780" s="23" t="s">
        <v>559</v>
      </c>
      <c r="C780" s="19" t="s">
        <v>521</v>
      </c>
      <c r="D780" s="44"/>
      <c r="E780" s="24">
        <f t="shared" si="32"/>
        <v>1500000</v>
      </c>
      <c r="F780" s="24">
        <f t="shared" si="32"/>
        <v>0</v>
      </c>
      <c r="G780" s="25">
        <f t="shared" si="30"/>
        <v>1500000</v>
      </c>
    </row>
    <row r="781" spans="1:7" s="13" customFormat="1" ht="15.75">
      <c r="A781" s="46" t="s">
        <v>560</v>
      </c>
      <c r="B781" s="23" t="s">
        <v>559</v>
      </c>
      <c r="C781" s="19" t="s">
        <v>561</v>
      </c>
      <c r="D781" s="19"/>
      <c r="E781" s="24">
        <f t="shared" si="32"/>
        <v>1500000</v>
      </c>
      <c r="F781" s="24">
        <f t="shared" si="32"/>
        <v>0</v>
      </c>
      <c r="G781" s="25">
        <f t="shared" si="30"/>
        <v>1500000</v>
      </c>
    </row>
    <row r="782" spans="1:7" s="13" customFormat="1" ht="15.75">
      <c r="A782" s="26" t="s">
        <v>26</v>
      </c>
      <c r="B782" s="23" t="s">
        <v>559</v>
      </c>
      <c r="C782" s="19" t="s">
        <v>561</v>
      </c>
      <c r="D782" s="19">
        <v>800</v>
      </c>
      <c r="E782" s="24">
        <f t="shared" si="32"/>
        <v>1500000</v>
      </c>
      <c r="F782" s="24">
        <f t="shared" si="32"/>
        <v>0</v>
      </c>
      <c r="G782" s="25">
        <f t="shared" si="30"/>
        <v>1500000</v>
      </c>
    </row>
    <row r="783" spans="1:7" s="13" customFormat="1" ht="47.25">
      <c r="A783" s="26" t="s">
        <v>207</v>
      </c>
      <c r="B783" s="23" t="s">
        <v>559</v>
      </c>
      <c r="C783" s="19" t="s">
        <v>561</v>
      </c>
      <c r="D783" s="19">
        <v>810</v>
      </c>
      <c r="E783" s="24">
        <v>1500000</v>
      </c>
      <c r="F783" s="29">
        <v>0</v>
      </c>
      <c r="G783" s="25">
        <f t="shared" si="30"/>
        <v>1500000</v>
      </c>
    </row>
    <row r="784" spans="1:7" s="13" customFormat="1" ht="15.75">
      <c r="A784" s="26" t="s">
        <v>12</v>
      </c>
      <c r="B784" s="23" t="s">
        <v>559</v>
      </c>
      <c r="C784" s="19" t="s">
        <v>13</v>
      </c>
      <c r="D784" s="19"/>
      <c r="E784" s="24">
        <f aca="true" t="shared" si="33" ref="E784:F787">E785</f>
        <v>0</v>
      </c>
      <c r="F784" s="29">
        <f t="shared" si="33"/>
        <v>3000000</v>
      </c>
      <c r="G784" s="25">
        <f t="shared" si="30"/>
        <v>3000000</v>
      </c>
    </row>
    <row r="785" spans="1:7" s="13" customFormat="1" ht="31.5">
      <c r="A785" s="26" t="s">
        <v>67</v>
      </c>
      <c r="B785" s="23" t="s">
        <v>559</v>
      </c>
      <c r="C785" s="19" t="s">
        <v>68</v>
      </c>
      <c r="D785" s="19"/>
      <c r="E785" s="24">
        <f t="shared" si="33"/>
        <v>0</v>
      </c>
      <c r="F785" s="29">
        <f t="shared" si="33"/>
        <v>3000000</v>
      </c>
      <c r="G785" s="25">
        <f t="shared" si="30"/>
        <v>3000000</v>
      </c>
    </row>
    <row r="786" spans="1:7" s="13" customFormat="1" ht="31.5">
      <c r="A786" s="26" t="s">
        <v>562</v>
      </c>
      <c r="B786" s="23" t="s">
        <v>559</v>
      </c>
      <c r="C786" s="19" t="s">
        <v>563</v>
      </c>
      <c r="D786" s="19"/>
      <c r="E786" s="24">
        <f t="shared" si="33"/>
        <v>0</v>
      </c>
      <c r="F786" s="29">
        <f t="shared" si="33"/>
        <v>3000000</v>
      </c>
      <c r="G786" s="25">
        <f t="shared" si="30"/>
        <v>3000000</v>
      </c>
    </row>
    <row r="787" spans="1:7" s="13" customFormat="1" ht="15.75">
      <c r="A787" s="26" t="s">
        <v>26</v>
      </c>
      <c r="B787" s="23" t="s">
        <v>559</v>
      </c>
      <c r="C787" s="19" t="s">
        <v>563</v>
      </c>
      <c r="D787" s="19">
        <v>800</v>
      </c>
      <c r="E787" s="24">
        <f t="shared" si="33"/>
        <v>0</v>
      </c>
      <c r="F787" s="29">
        <f t="shared" si="33"/>
        <v>3000000</v>
      </c>
      <c r="G787" s="25">
        <f t="shared" si="30"/>
        <v>3000000</v>
      </c>
    </row>
    <row r="788" spans="1:7" s="13" customFormat="1" ht="47.25">
      <c r="A788" s="26" t="s">
        <v>207</v>
      </c>
      <c r="B788" s="23" t="s">
        <v>559</v>
      </c>
      <c r="C788" s="19" t="s">
        <v>563</v>
      </c>
      <c r="D788" s="19">
        <v>810</v>
      </c>
      <c r="E788" s="24">
        <v>0</v>
      </c>
      <c r="F788" s="29">
        <f>1500000+1500000</f>
        <v>3000000</v>
      </c>
      <c r="G788" s="25">
        <f t="shared" si="30"/>
        <v>3000000</v>
      </c>
    </row>
    <row r="789" spans="1:7" s="13" customFormat="1" ht="15.75">
      <c r="A789" s="17" t="s">
        <v>564</v>
      </c>
      <c r="B789" s="18" t="s">
        <v>565</v>
      </c>
      <c r="C789" s="19"/>
      <c r="D789" s="44"/>
      <c r="E789" s="20">
        <f>E790+E806</f>
        <v>41956000</v>
      </c>
      <c r="F789" s="20">
        <f>F790+F806</f>
        <v>120743</v>
      </c>
      <c r="G789" s="21">
        <f t="shared" si="30"/>
        <v>42076743</v>
      </c>
    </row>
    <row r="790" spans="1:7" s="13" customFormat="1" ht="31.5">
      <c r="A790" s="26" t="s">
        <v>475</v>
      </c>
      <c r="B790" s="23" t="s">
        <v>565</v>
      </c>
      <c r="C790" s="19" t="s">
        <v>476</v>
      </c>
      <c r="D790" s="44"/>
      <c r="E790" s="24">
        <f>E791</f>
        <v>41956000</v>
      </c>
      <c r="F790" s="24">
        <f>F791</f>
        <v>-70000</v>
      </c>
      <c r="G790" s="25">
        <f t="shared" si="30"/>
        <v>41886000</v>
      </c>
    </row>
    <row r="791" spans="1:7" s="13" customFormat="1" ht="47.25">
      <c r="A791" s="26" t="s">
        <v>566</v>
      </c>
      <c r="B791" s="23" t="s">
        <v>565</v>
      </c>
      <c r="C791" s="19" t="s">
        <v>567</v>
      </c>
      <c r="D791" s="19"/>
      <c r="E791" s="24">
        <f>SUM(E792,E799)</f>
        <v>41956000</v>
      </c>
      <c r="F791" s="24">
        <f>SUM(F792,F799)</f>
        <v>-70000</v>
      </c>
      <c r="G791" s="25">
        <f t="shared" si="30"/>
        <v>41886000</v>
      </c>
    </row>
    <row r="792" spans="1:7" s="13" customFormat="1" ht="31.5">
      <c r="A792" s="26" t="s">
        <v>568</v>
      </c>
      <c r="B792" s="23" t="s">
        <v>565</v>
      </c>
      <c r="C792" s="19" t="s">
        <v>569</v>
      </c>
      <c r="D792" s="19"/>
      <c r="E792" s="29">
        <f>SUM(E793,E795,E797)</f>
        <v>5753000</v>
      </c>
      <c r="F792" s="29">
        <f>SUM(F793,F795,F797)</f>
        <v>0</v>
      </c>
      <c r="G792" s="25">
        <f t="shared" si="30"/>
        <v>5753000</v>
      </c>
    </row>
    <row r="793" spans="1:7" s="13" customFormat="1" ht="78.75">
      <c r="A793" s="28" t="s">
        <v>18</v>
      </c>
      <c r="B793" s="23" t="s">
        <v>565</v>
      </c>
      <c r="C793" s="19" t="s">
        <v>569</v>
      </c>
      <c r="D793" s="23" t="s">
        <v>19</v>
      </c>
      <c r="E793" s="24">
        <f>E794</f>
        <v>5400000</v>
      </c>
      <c r="F793" s="24">
        <f>F794</f>
        <v>0</v>
      </c>
      <c r="G793" s="25">
        <f t="shared" si="30"/>
        <v>5400000</v>
      </c>
    </row>
    <row r="794" spans="1:7" s="13" customFormat="1" ht="31.5">
      <c r="A794" s="28" t="s">
        <v>20</v>
      </c>
      <c r="B794" s="23" t="s">
        <v>565</v>
      </c>
      <c r="C794" s="19" t="s">
        <v>569</v>
      </c>
      <c r="D794" s="23" t="s">
        <v>21</v>
      </c>
      <c r="E794" s="24">
        <v>5400000</v>
      </c>
      <c r="F794" s="29">
        <v>0</v>
      </c>
      <c r="G794" s="25">
        <f t="shared" si="30"/>
        <v>5400000</v>
      </c>
    </row>
    <row r="795" spans="1:7" s="13" customFormat="1" ht="31.5">
      <c r="A795" s="30" t="s">
        <v>22</v>
      </c>
      <c r="B795" s="23" t="s">
        <v>565</v>
      </c>
      <c r="C795" s="19" t="s">
        <v>569</v>
      </c>
      <c r="D795" s="23" t="s">
        <v>23</v>
      </c>
      <c r="E795" s="24">
        <f>E796</f>
        <v>350000</v>
      </c>
      <c r="F795" s="24">
        <f>F796</f>
        <v>0</v>
      </c>
      <c r="G795" s="25">
        <f t="shared" si="30"/>
        <v>350000</v>
      </c>
    </row>
    <row r="796" spans="1:7" s="13" customFormat="1" ht="31.5">
      <c r="A796" s="30" t="s">
        <v>24</v>
      </c>
      <c r="B796" s="23" t="s">
        <v>565</v>
      </c>
      <c r="C796" s="19" t="s">
        <v>569</v>
      </c>
      <c r="D796" s="23" t="s">
        <v>25</v>
      </c>
      <c r="E796" s="24">
        <v>350000</v>
      </c>
      <c r="F796" s="29">
        <v>0</v>
      </c>
      <c r="G796" s="25">
        <f t="shared" si="30"/>
        <v>350000</v>
      </c>
    </row>
    <row r="797" spans="1:7" s="13" customFormat="1" ht="15.75">
      <c r="A797" s="30" t="s">
        <v>26</v>
      </c>
      <c r="B797" s="23" t="s">
        <v>565</v>
      </c>
      <c r="C797" s="19" t="s">
        <v>569</v>
      </c>
      <c r="D797" s="23" t="s">
        <v>27</v>
      </c>
      <c r="E797" s="24">
        <f>E798</f>
        <v>3000</v>
      </c>
      <c r="F797" s="24">
        <f>F798</f>
        <v>0</v>
      </c>
      <c r="G797" s="25">
        <f t="shared" si="30"/>
        <v>3000</v>
      </c>
    </row>
    <row r="798" spans="1:7" s="13" customFormat="1" ht="15.75">
      <c r="A798" s="30" t="s">
        <v>28</v>
      </c>
      <c r="B798" s="23" t="s">
        <v>565</v>
      </c>
      <c r="C798" s="19" t="s">
        <v>569</v>
      </c>
      <c r="D798" s="23" t="s">
        <v>29</v>
      </c>
      <c r="E798" s="24">
        <v>3000</v>
      </c>
      <c r="F798" s="29">
        <v>0</v>
      </c>
      <c r="G798" s="25">
        <f t="shared" si="30"/>
        <v>3000</v>
      </c>
    </row>
    <row r="799" spans="1:7" s="13" customFormat="1" ht="31.5">
      <c r="A799" s="26" t="s">
        <v>570</v>
      </c>
      <c r="B799" s="23" t="s">
        <v>565</v>
      </c>
      <c r="C799" s="19" t="s">
        <v>571</v>
      </c>
      <c r="D799" s="19"/>
      <c r="E799" s="24">
        <f>SUM(E800,E802,E804)</f>
        <v>36203000</v>
      </c>
      <c r="F799" s="24">
        <f>SUM(F800,F802,F804)</f>
        <v>-70000</v>
      </c>
      <c r="G799" s="25">
        <f aca="true" t="shared" si="34" ref="G799:G862">SUM(E799:F799)</f>
        <v>36133000</v>
      </c>
    </row>
    <row r="800" spans="1:7" s="13" customFormat="1" ht="78.75">
      <c r="A800" s="28" t="s">
        <v>18</v>
      </c>
      <c r="B800" s="23" t="s">
        <v>565</v>
      </c>
      <c r="C800" s="19" t="s">
        <v>571</v>
      </c>
      <c r="D800" s="19">
        <v>100</v>
      </c>
      <c r="E800" s="24">
        <f>E801</f>
        <v>34800000</v>
      </c>
      <c r="F800" s="24">
        <f>F801</f>
        <v>-123187</v>
      </c>
      <c r="G800" s="25">
        <f t="shared" si="34"/>
        <v>34676813</v>
      </c>
    </row>
    <row r="801" spans="1:7" s="13" customFormat="1" ht="15.75">
      <c r="A801" s="28" t="s">
        <v>96</v>
      </c>
      <c r="B801" s="23" t="s">
        <v>565</v>
      </c>
      <c r="C801" s="19" t="s">
        <v>571</v>
      </c>
      <c r="D801" s="19">
        <v>110</v>
      </c>
      <c r="E801" s="24">
        <v>34800000</v>
      </c>
      <c r="F801" s="29">
        <v>-123187</v>
      </c>
      <c r="G801" s="25">
        <f t="shared" si="34"/>
        <v>34676813</v>
      </c>
    </row>
    <row r="802" spans="1:7" s="13" customFormat="1" ht="31.5">
      <c r="A802" s="30" t="s">
        <v>22</v>
      </c>
      <c r="B802" s="23" t="s">
        <v>565</v>
      </c>
      <c r="C802" s="19" t="s">
        <v>571</v>
      </c>
      <c r="D802" s="19">
        <v>200</v>
      </c>
      <c r="E802" s="24">
        <f>E803</f>
        <v>1400000</v>
      </c>
      <c r="F802" s="24">
        <f>F803</f>
        <v>-70000</v>
      </c>
      <c r="G802" s="25">
        <f t="shared" si="34"/>
        <v>1330000</v>
      </c>
    </row>
    <row r="803" spans="1:7" s="13" customFormat="1" ht="31.5">
      <c r="A803" s="30" t="s">
        <v>24</v>
      </c>
      <c r="B803" s="23" t="s">
        <v>565</v>
      </c>
      <c r="C803" s="19" t="s">
        <v>571</v>
      </c>
      <c r="D803" s="19">
        <v>240</v>
      </c>
      <c r="E803" s="24">
        <v>1400000</v>
      </c>
      <c r="F803" s="29">
        <v>-70000</v>
      </c>
      <c r="G803" s="25">
        <f t="shared" si="34"/>
        <v>1330000</v>
      </c>
    </row>
    <row r="804" spans="1:7" s="13" customFormat="1" ht="15.75">
      <c r="A804" s="30" t="s">
        <v>26</v>
      </c>
      <c r="B804" s="23" t="s">
        <v>565</v>
      </c>
      <c r="C804" s="19" t="s">
        <v>571</v>
      </c>
      <c r="D804" s="23" t="s">
        <v>27</v>
      </c>
      <c r="E804" s="24">
        <f>E805</f>
        <v>3000</v>
      </c>
      <c r="F804" s="24">
        <f>F805</f>
        <v>123187</v>
      </c>
      <c r="G804" s="25">
        <f t="shared" si="34"/>
        <v>126187</v>
      </c>
    </row>
    <row r="805" spans="1:7" s="13" customFormat="1" ht="15.75">
      <c r="A805" s="30" t="s">
        <v>28</v>
      </c>
      <c r="B805" s="23" t="s">
        <v>565</v>
      </c>
      <c r="C805" s="19" t="s">
        <v>571</v>
      </c>
      <c r="D805" s="23" t="s">
        <v>29</v>
      </c>
      <c r="E805" s="24">
        <v>3000</v>
      </c>
      <c r="F805" s="29">
        <v>123187</v>
      </c>
      <c r="G805" s="25">
        <f t="shared" si="34"/>
        <v>126187</v>
      </c>
    </row>
    <row r="806" spans="1:7" s="13" customFormat="1" ht="15.75">
      <c r="A806" s="26" t="s">
        <v>12</v>
      </c>
      <c r="B806" s="23" t="s">
        <v>565</v>
      </c>
      <c r="C806" s="19" t="s">
        <v>13</v>
      </c>
      <c r="D806" s="19"/>
      <c r="E806" s="24">
        <f aca="true" t="shared" si="35" ref="E806:F809">E807</f>
        <v>0</v>
      </c>
      <c r="F806" s="24">
        <f t="shared" si="35"/>
        <v>190743</v>
      </c>
      <c r="G806" s="25">
        <f t="shared" si="34"/>
        <v>190743</v>
      </c>
    </row>
    <row r="807" spans="1:7" s="13" customFormat="1" ht="31.5">
      <c r="A807" s="26" t="s">
        <v>14</v>
      </c>
      <c r="B807" s="23" t="s">
        <v>565</v>
      </c>
      <c r="C807" s="19" t="s">
        <v>15</v>
      </c>
      <c r="D807" s="19"/>
      <c r="E807" s="24">
        <f t="shared" si="35"/>
        <v>0</v>
      </c>
      <c r="F807" s="24">
        <f t="shared" si="35"/>
        <v>190743</v>
      </c>
      <c r="G807" s="25">
        <f t="shared" si="34"/>
        <v>190743</v>
      </c>
    </row>
    <row r="808" spans="1:7" s="13" customFormat="1" ht="63">
      <c r="A808" s="26" t="s">
        <v>48</v>
      </c>
      <c r="B808" s="23" t="s">
        <v>565</v>
      </c>
      <c r="C808" s="19" t="s">
        <v>49</v>
      </c>
      <c r="D808" s="19"/>
      <c r="E808" s="24">
        <f t="shared" si="35"/>
        <v>0</v>
      </c>
      <c r="F808" s="24">
        <f t="shared" si="35"/>
        <v>190743</v>
      </c>
      <c r="G808" s="25">
        <f t="shared" si="34"/>
        <v>190743</v>
      </c>
    </row>
    <row r="809" spans="1:7" s="13" customFormat="1" ht="78.75">
      <c r="A809" s="28" t="s">
        <v>18</v>
      </c>
      <c r="B809" s="23" t="s">
        <v>565</v>
      </c>
      <c r="C809" s="19" t="s">
        <v>49</v>
      </c>
      <c r="D809" s="23" t="s">
        <v>19</v>
      </c>
      <c r="E809" s="24">
        <f t="shared" si="35"/>
        <v>0</v>
      </c>
      <c r="F809" s="24">
        <f t="shared" si="35"/>
        <v>190743</v>
      </c>
      <c r="G809" s="25">
        <f t="shared" si="34"/>
        <v>190743</v>
      </c>
    </row>
    <row r="810" spans="1:7" s="13" customFormat="1" ht="31.5">
      <c r="A810" s="28" t="s">
        <v>20</v>
      </c>
      <c r="B810" s="23" t="s">
        <v>565</v>
      </c>
      <c r="C810" s="19" t="s">
        <v>49</v>
      </c>
      <c r="D810" s="23" t="s">
        <v>21</v>
      </c>
      <c r="E810" s="24">
        <v>0</v>
      </c>
      <c r="F810" s="24">
        <v>190743</v>
      </c>
      <c r="G810" s="25">
        <f t="shared" si="34"/>
        <v>190743</v>
      </c>
    </row>
    <row r="811" spans="1:7" s="32" customFormat="1" ht="15.75">
      <c r="A811" s="14" t="s">
        <v>572</v>
      </c>
      <c r="B811" s="15" t="s">
        <v>573</v>
      </c>
      <c r="C811" s="66"/>
      <c r="D811" s="66"/>
      <c r="E811" s="50">
        <f>SUM(E812,E820,E830,E927,E975,)</f>
        <v>837169021.88</v>
      </c>
      <c r="F811" s="50">
        <f>SUM(F812,F820,F830,F927,F975,)</f>
        <v>183146395.88</v>
      </c>
      <c r="G811" s="16">
        <f t="shared" si="34"/>
        <v>1020315417.76</v>
      </c>
    </row>
    <row r="812" spans="1:7" s="32" customFormat="1" ht="15.75">
      <c r="A812" s="17" t="s">
        <v>574</v>
      </c>
      <c r="B812" s="18" t="s">
        <v>575</v>
      </c>
      <c r="C812" s="19"/>
      <c r="D812" s="44"/>
      <c r="E812" s="20">
        <f aca="true" t="shared" si="36" ref="E812:F814">E813</f>
        <v>8500000</v>
      </c>
      <c r="F812" s="20">
        <f t="shared" si="36"/>
        <v>200000</v>
      </c>
      <c r="G812" s="21">
        <f t="shared" si="34"/>
        <v>8700000</v>
      </c>
    </row>
    <row r="813" spans="1:7" s="32" customFormat="1" ht="31.5">
      <c r="A813" s="26" t="s">
        <v>212</v>
      </c>
      <c r="B813" s="23" t="s">
        <v>575</v>
      </c>
      <c r="C813" s="19" t="s">
        <v>213</v>
      </c>
      <c r="D813" s="19"/>
      <c r="E813" s="24">
        <f t="shared" si="36"/>
        <v>8500000</v>
      </c>
      <c r="F813" s="24">
        <f t="shared" si="36"/>
        <v>200000</v>
      </c>
      <c r="G813" s="25">
        <f t="shared" si="34"/>
        <v>8700000</v>
      </c>
    </row>
    <row r="814" spans="1:7" s="32" customFormat="1" ht="47.25">
      <c r="A814" s="26" t="s">
        <v>576</v>
      </c>
      <c r="B814" s="23" t="s">
        <v>575</v>
      </c>
      <c r="C814" s="19" t="s">
        <v>577</v>
      </c>
      <c r="D814" s="19"/>
      <c r="E814" s="24">
        <f t="shared" si="36"/>
        <v>8500000</v>
      </c>
      <c r="F814" s="24">
        <f t="shared" si="36"/>
        <v>200000</v>
      </c>
      <c r="G814" s="25">
        <f t="shared" si="34"/>
        <v>8700000</v>
      </c>
    </row>
    <row r="815" spans="1:7" s="32" customFormat="1" ht="47.25">
      <c r="A815" s="26" t="s">
        <v>578</v>
      </c>
      <c r="B815" s="23" t="s">
        <v>575</v>
      </c>
      <c r="C815" s="19" t="s">
        <v>579</v>
      </c>
      <c r="D815" s="19"/>
      <c r="E815" s="24">
        <f>E818+E816</f>
        <v>8500000</v>
      </c>
      <c r="F815" s="24">
        <f>F818+F816</f>
        <v>200000</v>
      </c>
      <c r="G815" s="25">
        <f t="shared" si="34"/>
        <v>8700000</v>
      </c>
    </row>
    <row r="816" spans="1:7" s="32" customFormat="1" ht="31.5">
      <c r="A816" s="30" t="s">
        <v>22</v>
      </c>
      <c r="B816" s="23" t="s">
        <v>575</v>
      </c>
      <c r="C816" s="19" t="s">
        <v>579</v>
      </c>
      <c r="D816" s="19">
        <v>200</v>
      </c>
      <c r="E816" s="24">
        <f>E817</f>
        <v>85000</v>
      </c>
      <c r="F816" s="24">
        <f>F817</f>
        <v>0</v>
      </c>
      <c r="G816" s="25">
        <f t="shared" si="34"/>
        <v>85000</v>
      </c>
    </row>
    <row r="817" spans="1:7" s="32" customFormat="1" ht="31.5">
      <c r="A817" s="30" t="s">
        <v>24</v>
      </c>
      <c r="B817" s="23" t="s">
        <v>575</v>
      </c>
      <c r="C817" s="19" t="s">
        <v>579</v>
      </c>
      <c r="D817" s="19">
        <v>240</v>
      </c>
      <c r="E817" s="24">
        <v>85000</v>
      </c>
      <c r="F817" s="29">
        <v>0</v>
      </c>
      <c r="G817" s="25">
        <f t="shared" si="34"/>
        <v>85000</v>
      </c>
    </row>
    <row r="818" spans="1:7" s="32" customFormat="1" ht="15.75">
      <c r="A818" s="26" t="s">
        <v>42</v>
      </c>
      <c r="B818" s="23" t="s">
        <v>575</v>
      </c>
      <c r="C818" s="19" t="s">
        <v>579</v>
      </c>
      <c r="D818" s="19">
        <v>300</v>
      </c>
      <c r="E818" s="24">
        <f>E819</f>
        <v>8415000</v>
      </c>
      <c r="F818" s="24">
        <f>F819</f>
        <v>200000</v>
      </c>
      <c r="G818" s="25">
        <f t="shared" si="34"/>
        <v>8615000</v>
      </c>
    </row>
    <row r="819" spans="1:7" s="32" customFormat="1" ht="15.75">
      <c r="A819" s="26" t="s">
        <v>580</v>
      </c>
      <c r="B819" s="23" t="s">
        <v>575</v>
      </c>
      <c r="C819" s="19" t="s">
        <v>579</v>
      </c>
      <c r="D819" s="19">
        <v>310</v>
      </c>
      <c r="E819" s="24">
        <v>8415000</v>
      </c>
      <c r="F819" s="29">
        <v>200000</v>
      </c>
      <c r="G819" s="25">
        <f t="shared" si="34"/>
        <v>8615000</v>
      </c>
    </row>
    <row r="820" spans="1:7" s="32" customFormat="1" ht="15.75">
      <c r="A820" s="61" t="s">
        <v>581</v>
      </c>
      <c r="B820" s="18" t="s">
        <v>582</v>
      </c>
      <c r="C820" s="34"/>
      <c r="D820" s="34"/>
      <c r="E820" s="20">
        <f>E821</f>
        <v>64783945</v>
      </c>
      <c r="F820" s="20">
        <f>F821</f>
        <v>1499544</v>
      </c>
      <c r="G820" s="21">
        <f t="shared" si="34"/>
        <v>66283489</v>
      </c>
    </row>
    <row r="821" spans="1:7" s="32" customFormat="1" ht="15.75">
      <c r="A821" s="22" t="s">
        <v>12</v>
      </c>
      <c r="B821" s="23" t="s">
        <v>582</v>
      </c>
      <c r="C821" s="19" t="s">
        <v>13</v>
      </c>
      <c r="D821" s="23"/>
      <c r="E821" s="24">
        <f>E822+E826</f>
        <v>64783945</v>
      </c>
      <c r="F821" s="24">
        <f>F822+F826</f>
        <v>1499544</v>
      </c>
      <c r="G821" s="25">
        <f t="shared" si="34"/>
        <v>66283489</v>
      </c>
    </row>
    <row r="822" spans="1:7" s="32" customFormat="1" ht="47.25">
      <c r="A822" s="26" t="s">
        <v>50</v>
      </c>
      <c r="B822" s="23" t="s">
        <v>582</v>
      </c>
      <c r="C822" s="19" t="s">
        <v>51</v>
      </c>
      <c r="D822" s="23"/>
      <c r="E822" s="24">
        <f aca="true" t="shared" si="37" ref="E822:F824">E823</f>
        <v>59683945</v>
      </c>
      <c r="F822" s="24">
        <f t="shared" si="37"/>
        <v>1499544</v>
      </c>
      <c r="G822" s="25">
        <f t="shared" si="34"/>
        <v>61183489</v>
      </c>
    </row>
    <row r="823" spans="1:7" s="32" customFormat="1" ht="47.25">
      <c r="A823" s="26" t="s">
        <v>583</v>
      </c>
      <c r="B823" s="23" t="s">
        <v>582</v>
      </c>
      <c r="C823" s="19" t="s">
        <v>584</v>
      </c>
      <c r="D823" s="23"/>
      <c r="E823" s="24">
        <f t="shared" si="37"/>
        <v>59683945</v>
      </c>
      <c r="F823" s="24">
        <f t="shared" si="37"/>
        <v>1499544</v>
      </c>
      <c r="G823" s="25">
        <f t="shared" si="34"/>
        <v>61183489</v>
      </c>
    </row>
    <row r="824" spans="1:7" s="32" customFormat="1" ht="31.5">
      <c r="A824" s="26" t="s">
        <v>103</v>
      </c>
      <c r="B824" s="23" t="s">
        <v>582</v>
      </c>
      <c r="C824" s="19" t="s">
        <v>584</v>
      </c>
      <c r="D824" s="23" t="s">
        <v>153</v>
      </c>
      <c r="E824" s="24">
        <f t="shared" si="37"/>
        <v>59683945</v>
      </c>
      <c r="F824" s="24">
        <f t="shared" si="37"/>
        <v>1499544</v>
      </c>
      <c r="G824" s="25">
        <f t="shared" si="34"/>
        <v>61183489</v>
      </c>
    </row>
    <row r="825" spans="1:7" s="32" customFormat="1" ht="15.75">
      <c r="A825" s="26" t="s">
        <v>104</v>
      </c>
      <c r="B825" s="23" t="s">
        <v>582</v>
      </c>
      <c r="C825" s="19" t="s">
        <v>584</v>
      </c>
      <c r="D825" s="23" t="s">
        <v>154</v>
      </c>
      <c r="E825" s="24">
        <v>59683945</v>
      </c>
      <c r="F825" s="29">
        <v>1499544</v>
      </c>
      <c r="G825" s="25">
        <f t="shared" si="34"/>
        <v>61183489</v>
      </c>
    </row>
    <row r="826" spans="1:7" s="32" customFormat="1" ht="15.75">
      <c r="A826" s="26" t="s">
        <v>164</v>
      </c>
      <c r="B826" s="23" t="s">
        <v>582</v>
      </c>
      <c r="C826" s="19" t="s">
        <v>165</v>
      </c>
      <c r="D826" s="19"/>
      <c r="E826" s="24">
        <f aca="true" t="shared" si="38" ref="E826:F828">E827</f>
        <v>5100000</v>
      </c>
      <c r="F826" s="24">
        <f t="shared" si="38"/>
        <v>0</v>
      </c>
      <c r="G826" s="25">
        <f t="shared" si="34"/>
        <v>5100000</v>
      </c>
    </row>
    <row r="827" spans="1:7" s="32" customFormat="1" ht="47.25">
      <c r="A827" s="26" t="s">
        <v>166</v>
      </c>
      <c r="B827" s="23" t="s">
        <v>582</v>
      </c>
      <c r="C827" s="19" t="s">
        <v>167</v>
      </c>
      <c r="D827" s="19"/>
      <c r="E827" s="24">
        <f t="shared" si="38"/>
        <v>5100000</v>
      </c>
      <c r="F827" s="24">
        <f t="shared" si="38"/>
        <v>0</v>
      </c>
      <c r="G827" s="25">
        <f t="shared" si="34"/>
        <v>5100000</v>
      </c>
    </row>
    <row r="828" spans="1:7" s="32" customFormat="1" ht="31.5">
      <c r="A828" s="26" t="s">
        <v>103</v>
      </c>
      <c r="B828" s="23" t="s">
        <v>582</v>
      </c>
      <c r="C828" s="19" t="s">
        <v>167</v>
      </c>
      <c r="D828" s="23" t="s">
        <v>153</v>
      </c>
      <c r="E828" s="24">
        <f t="shared" si="38"/>
        <v>5100000</v>
      </c>
      <c r="F828" s="24">
        <f t="shared" si="38"/>
        <v>0</v>
      </c>
      <c r="G828" s="25">
        <f t="shared" si="34"/>
        <v>5100000</v>
      </c>
    </row>
    <row r="829" spans="1:7" s="32" customFormat="1" ht="15.75">
      <c r="A829" s="26" t="s">
        <v>104</v>
      </c>
      <c r="B829" s="23" t="s">
        <v>582</v>
      </c>
      <c r="C829" s="19" t="s">
        <v>167</v>
      </c>
      <c r="D829" s="23" t="s">
        <v>154</v>
      </c>
      <c r="E829" s="24">
        <v>5100000</v>
      </c>
      <c r="F829" s="29">
        <v>0</v>
      </c>
      <c r="G829" s="25">
        <f t="shared" si="34"/>
        <v>5100000</v>
      </c>
    </row>
    <row r="830" spans="1:7" s="68" customFormat="1" ht="15.75">
      <c r="A830" s="67" t="s">
        <v>585</v>
      </c>
      <c r="B830" s="18" t="s">
        <v>586</v>
      </c>
      <c r="C830" s="34"/>
      <c r="D830" s="34"/>
      <c r="E830" s="20">
        <f>E831</f>
        <v>470234541.88</v>
      </c>
      <c r="F830" s="20">
        <f>F831</f>
        <v>-1226695.879999999</v>
      </c>
      <c r="G830" s="21">
        <f t="shared" si="34"/>
        <v>469007846</v>
      </c>
    </row>
    <row r="831" spans="1:7" s="32" customFormat="1" ht="31.5">
      <c r="A831" s="26" t="s">
        <v>212</v>
      </c>
      <c r="B831" s="23" t="s">
        <v>586</v>
      </c>
      <c r="C831" s="19" t="s">
        <v>213</v>
      </c>
      <c r="D831" s="66"/>
      <c r="E831" s="24">
        <f>E832+E902+E917+E923</f>
        <v>470234541.88</v>
      </c>
      <c r="F831" s="24">
        <f>F832+F902+F917+F923</f>
        <v>-1226695.879999999</v>
      </c>
      <c r="G831" s="25">
        <f t="shared" si="34"/>
        <v>469007846</v>
      </c>
    </row>
    <row r="832" spans="1:7" s="32" customFormat="1" ht="47.25">
      <c r="A832" s="26" t="s">
        <v>576</v>
      </c>
      <c r="B832" s="23" t="s">
        <v>586</v>
      </c>
      <c r="C832" s="19" t="s">
        <v>577</v>
      </c>
      <c r="D832" s="19"/>
      <c r="E832" s="29">
        <f>SUM(E833,E838,E843,E848,E853,E858,E864,E869,E874,E879,E884,E889,E894,E899)</f>
        <v>434512247</v>
      </c>
      <c r="F832" s="29">
        <f>SUM(F833,F838,F843,F848,F853,F858,F864,F869,F874,F879,F884,F889,F894,F899)</f>
        <v>16645599</v>
      </c>
      <c r="G832" s="25">
        <f t="shared" si="34"/>
        <v>451157846</v>
      </c>
    </row>
    <row r="833" spans="1:7" s="32" customFormat="1" ht="31.5">
      <c r="A833" s="26" t="s">
        <v>587</v>
      </c>
      <c r="B833" s="23" t="s">
        <v>586</v>
      </c>
      <c r="C833" s="19" t="s">
        <v>588</v>
      </c>
      <c r="D833" s="19"/>
      <c r="E833" s="29">
        <f>E836+E834</f>
        <v>110060704</v>
      </c>
      <c r="F833" s="29">
        <f>F836+F834</f>
        <v>-3500000</v>
      </c>
      <c r="G833" s="25">
        <f t="shared" si="34"/>
        <v>106560704</v>
      </c>
    </row>
    <row r="834" spans="1:7" s="32" customFormat="1" ht="31.5">
      <c r="A834" s="30" t="s">
        <v>22</v>
      </c>
      <c r="B834" s="23" t="s">
        <v>586</v>
      </c>
      <c r="C834" s="19" t="s">
        <v>588</v>
      </c>
      <c r="D834" s="19">
        <v>200</v>
      </c>
      <c r="E834" s="29">
        <f>E835</f>
        <v>1100608</v>
      </c>
      <c r="F834" s="29">
        <f>F835</f>
        <v>0</v>
      </c>
      <c r="G834" s="25">
        <f t="shared" si="34"/>
        <v>1100608</v>
      </c>
    </row>
    <row r="835" spans="1:7" s="32" customFormat="1" ht="31.5">
      <c r="A835" s="26" t="s">
        <v>24</v>
      </c>
      <c r="B835" s="23" t="s">
        <v>586</v>
      </c>
      <c r="C835" s="19" t="s">
        <v>588</v>
      </c>
      <c r="D835" s="19">
        <v>240</v>
      </c>
      <c r="E835" s="29">
        <v>1100608</v>
      </c>
      <c r="F835" s="29">
        <v>0</v>
      </c>
      <c r="G835" s="25">
        <f t="shared" si="34"/>
        <v>1100608</v>
      </c>
    </row>
    <row r="836" spans="1:7" s="32" customFormat="1" ht="15.75">
      <c r="A836" s="26" t="s">
        <v>42</v>
      </c>
      <c r="B836" s="23" t="s">
        <v>586</v>
      </c>
      <c r="C836" s="19" t="s">
        <v>588</v>
      </c>
      <c r="D836" s="19">
        <v>300</v>
      </c>
      <c r="E836" s="29">
        <f>E837</f>
        <v>108960096</v>
      </c>
      <c r="F836" s="29">
        <f>F837</f>
        <v>-3500000</v>
      </c>
      <c r="G836" s="25">
        <f t="shared" si="34"/>
        <v>105460096</v>
      </c>
    </row>
    <row r="837" spans="1:7" s="32" customFormat="1" ht="15.75">
      <c r="A837" s="26" t="s">
        <v>580</v>
      </c>
      <c r="B837" s="23" t="s">
        <v>586</v>
      </c>
      <c r="C837" s="19" t="s">
        <v>588</v>
      </c>
      <c r="D837" s="19">
        <v>310</v>
      </c>
      <c r="E837" s="29">
        <v>108960096</v>
      </c>
      <c r="F837" s="29">
        <v>-3500000</v>
      </c>
      <c r="G837" s="25">
        <f t="shared" si="34"/>
        <v>105460096</v>
      </c>
    </row>
    <row r="838" spans="1:7" s="32" customFormat="1" ht="47.25">
      <c r="A838" s="26" t="s">
        <v>589</v>
      </c>
      <c r="B838" s="23" t="s">
        <v>586</v>
      </c>
      <c r="C838" s="19" t="s">
        <v>590</v>
      </c>
      <c r="D838" s="19"/>
      <c r="E838" s="29">
        <f>E841+E839</f>
        <v>8418651</v>
      </c>
      <c r="F838" s="29">
        <f>F841+F839</f>
        <v>323534</v>
      </c>
      <c r="G838" s="25">
        <f t="shared" si="34"/>
        <v>8742185</v>
      </c>
    </row>
    <row r="839" spans="1:7" s="32" customFormat="1" ht="31.5">
      <c r="A839" s="30" t="s">
        <v>22</v>
      </c>
      <c r="B839" s="23" t="s">
        <v>586</v>
      </c>
      <c r="C839" s="19" t="s">
        <v>590</v>
      </c>
      <c r="D839" s="19">
        <v>200</v>
      </c>
      <c r="E839" s="29">
        <f>E840</f>
        <v>84187</v>
      </c>
      <c r="F839" s="29">
        <f>F840</f>
        <v>1734.5300000000002</v>
      </c>
      <c r="G839" s="25">
        <f t="shared" si="34"/>
        <v>85921.53</v>
      </c>
    </row>
    <row r="840" spans="1:7" s="32" customFormat="1" ht="31.5">
      <c r="A840" s="26" t="s">
        <v>24</v>
      </c>
      <c r="B840" s="23" t="s">
        <v>586</v>
      </c>
      <c r="C840" s="19" t="s">
        <v>590</v>
      </c>
      <c r="D840" s="19">
        <v>240</v>
      </c>
      <c r="E840" s="29">
        <v>84187</v>
      </c>
      <c r="F840" s="29">
        <f>312.92+835+586.61</f>
        <v>1734.5300000000002</v>
      </c>
      <c r="G840" s="25">
        <f t="shared" si="34"/>
        <v>85921.53</v>
      </c>
    </row>
    <row r="841" spans="1:7" s="32" customFormat="1" ht="15.75">
      <c r="A841" s="26" t="s">
        <v>42</v>
      </c>
      <c r="B841" s="23" t="s">
        <v>586</v>
      </c>
      <c r="C841" s="19" t="s">
        <v>590</v>
      </c>
      <c r="D841" s="19">
        <v>300</v>
      </c>
      <c r="E841" s="29">
        <f>E842</f>
        <v>8334464</v>
      </c>
      <c r="F841" s="29">
        <f>F842</f>
        <v>321799.47</v>
      </c>
      <c r="G841" s="25">
        <f t="shared" si="34"/>
        <v>8656263.47</v>
      </c>
    </row>
    <row r="842" spans="1:7" s="32" customFormat="1" ht="15.75">
      <c r="A842" s="26" t="s">
        <v>580</v>
      </c>
      <c r="B842" s="23" t="s">
        <v>586</v>
      </c>
      <c r="C842" s="19" t="s">
        <v>590</v>
      </c>
      <c r="D842" s="19">
        <v>310</v>
      </c>
      <c r="E842" s="29">
        <v>8334464</v>
      </c>
      <c r="F842" s="29">
        <f>146687.08+86610+88502.39</f>
        <v>321799.47</v>
      </c>
      <c r="G842" s="25">
        <f t="shared" si="34"/>
        <v>8656263.47</v>
      </c>
    </row>
    <row r="843" spans="1:7" s="32" customFormat="1" ht="31.5">
      <c r="A843" s="26" t="s">
        <v>591</v>
      </c>
      <c r="B843" s="23" t="s">
        <v>586</v>
      </c>
      <c r="C843" s="19" t="s">
        <v>592</v>
      </c>
      <c r="D843" s="19"/>
      <c r="E843" s="29">
        <f>E846+E844</f>
        <v>24380770</v>
      </c>
      <c r="F843" s="29">
        <f>F846+F844</f>
        <v>4295672</v>
      </c>
      <c r="G843" s="25">
        <f t="shared" si="34"/>
        <v>28676442</v>
      </c>
    </row>
    <row r="844" spans="1:7" s="32" customFormat="1" ht="31.5">
      <c r="A844" s="30" t="s">
        <v>22</v>
      </c>
      <c r="B844" s="23" t="s">
        <v>586</v>
      </c>
      <c r="C844" s="19" t="s">
        <v>592</v>
      </c>
      <c r="D844" s="19">
        <v>200</v>
      </c>
      <c r="E844" s="29">
        <f>E845</f>
        <v>255876</v>
      </c>
      <c r="F844" s="29">
        <f>F845</f>
        <v>28685</v>
      </c>
      <c r="G844" s="25">
        <f t="shared" si="34"/>
        <v>284561</v>
      </c>
    </row>
    <row r="845" spans="1:7" s="32" customFormat="1" ht="31.5">
      <c r="A845" s="26" t="s">
        <v>24</v>
      </c>
      <c r="B845" s="23" t="s">
        <v>586</v>
      </c>
      <c r="C845" s="19" t="s">
        <v>592</v>
      </c>
      <c r="D845" s="19">
        <v>240</v>
      </c>
      <c r="E845" s="29">
        <v>255876</v>
      </c>
      <c r="F845" s="29">
        <f>-11755+40440</f>
        <v>28685</v>
      </c>
      <c r="G845" s="25">
        <f t="shared" si="34"/>
        <v>284561</v>
      </c>
    </row>
    <row r="846" spans="1:7" s="32" customFormat="1" ht="15.75">
      <c r="A846" s="26" t="s">
        <v>42</v>
      </c>
      <c r="B846" s="23" t="s">
        <v>586</v>
      </c>
      <c r="C846" s="19" t="s">
        <v>592</v>
      </c>
      <c r="D846" s="19">
        <v>300</v>
      </c>
      <c r="E846" s="29">
        <f>E847</f>
        <v>24124894</v>
      </c>
      <c r="F846" s="29">
        <f>F847</f>
        <v>4266987</v>
      </c>
      <c r="G846" s="25">
        <f t="shared" si="34"/>
        <v>28391881</v>
      </c>
    </row>
    <row r="847" spans="1:7" s="32" customFormat="1" ht="15.75">
      <c r="A847" s="26" t="s">
        <v>580</v>
      </c>
      <c r="B847" s="23" t="s">
        <v>586</v>
      </c>
      <c r="C847" s="19" t="s">
        <v>592</v>
      </c>
      <c r="D847" s="19">
        <v>310</v>
      </c>
      <c r="E847" s="29">
        <v>24124894</v>
      </c>
      <c r="F847" s="29">
        <f>11755+4255232</f>
        <v>4266987</v>
      </c>
      <c r="G847" s="25">
        <f t="shared" si="34"/>
        <v>28391881</v>
      </c>
    </row>
    <row r="848" spans="1:7" s="32" customFormat="1" ht="47.25">
      <c r="A848" s="26" t="s">
        <v>593</v>
      </c>
      <c r="B848" s="23" t="s">
        <v>586</v>
      </c>
      <c r="C848" s="19" t="s">
        <v>594</v>
      </c>
      <c r="D848" s="19"/>
      <c r="E848" s="29">
        <f>E851+E849</f>
        <v>387991</v>
      </c>
      <c r="F848" s="29">
        <f>F851+F849</f>
        <v>250000</v>
      </c>
      <c r="G848" s="25">
        <f t="shared" si="34"/>
        <v>637991</v>
      </c>
    </row>
    <row r="849" spans="1:7" s="32" customFormat="1" ht="31.5">
      <c r="A849" s="30" t="s">
        <v>22</v>
      </c>
      <c r="B849" s="23" t="s">
        <v>586</v>
      </c>
      <c r="C849" s="19" t="s">
        <v>594</v>
      </c>
      <c r="D849" s="19">
        <v>200</v>
      </c>
      <c r="E849" s="29">
        <f>E850</f>
        <v>3919</v>
      </c>
      <c r="F849" s="29">
        <f>F850</f>
        <v>2475</v>
      </c>
      <c r="G849" s="25">
        <f t="shared" si="34"/>
        <v>6394</v>
      </c>
    </row>
    <row r="850" spans="1:7" s="32" customFormat="1" ht="31.5">
      <c r="A850" s="26" t="s">
        <v>24</v>
      </c>
      <c r="B850" s="23" t="s">
        <v>586</v>
      </c>
      <c r="C850" s="19" t="s">
        <v>594</v>
      </c>
      <c r="D850" s="19">
        <v>240</v>
      </c>
      <c r="E850" s="29">
        <v>3919</v>
      </c>
      <c r="F850" s="29">
        <f>1485+990</f>
        <v>2475</v>
      </c>
      <c r="G850" s="25">
        <f t="shared" si="34"/>
        <v>6394</v>
      </c>
    </row>
    <row r="851" spans="1:7" s="32" customFormat="1" ht="15.75">
      <c r="A851" s="26" t="s">
        <v>42</v>
      </c>
      <c r="B851" s="23" t="s">
        <v>586</v>
      </c>
      <c r="C851" s="19" t="s">
        <v>594</v>
      </c>
      <c r="D851" s="19">
        <v>300</v>
      </c>
      <c r="E851" s="29">
        <f>E852</f>
        <v>384072</v>
      </c>
      <c r="F851" s="29">
        <f>F852</f>
        <v>247525</v>
      </c>
      <c r="G851" s="25">
        <f t="shared" si="34"/>
        <v>631597</v>
      </c>
    </row>
    <row r="852" spans="1:7" s="32" customFormat="1" ht="15.75">
      <c r="A852" s="26" t="s">
        <v>580</v>
      </c>
      <c r="B852" s="23" t="s">
        <v>586</v>
      </c>
      <c r="C852" s="19" t="s">
        <v>594</v>
      </c>
      <c r="D852" s="19">
        <v>310</v>
      </c>
      <c r="E852" s="29">
        <v>384072</v>
      </c>
      <c r="F852" s="29">
        <f>148515+99010</f>
        <v>247525</v>
      </c>
      <c r="G852" s="25">
        <f t="shared" si="34"/>
        <v>631597</v>
      </c>
    </row>
    <row r="853" spans="1:7" s="32" customFormat="1" ht="47.25">
      <c r="A853" s="26" t="s">
        <v>595</v>
      </c>
      <c r="B853" s="23" t="s">
        <v>586</v>
      </c>
      <c r="C853" s="19" t="s">
        <v>596</v>
      </c>
      <c r="D853" s="19"/>
      <c r="E853" s="29">
        <f>E856+E854</f>
        <v>7100000</v>
      </c>
      <c r="F853" s="29">
        <f>F856+F854</f>
        <v>0</v>
      </c>
      <c r="G853" s="25">
        <f t="shared" si="34"/>
        <v>7100000</v>
      </c>
    </row>
    <row r="854" spans="1:7" s="32" customFormat="1" ht="31.5">
      <c r="A854" s="30" t="s">
        <v>22</v>
      </c>
      <c r="B854" s="23" t="s">
        <v>586</v>
      </c>
      <c r="C854" s="19" t="s">
        <v>596</v>
      </c>
      <c r="D854" s="19">
        <v>200</v>
      </c>
      <c r="E854" s="24">
        <f>E855</f>
        <v>71000</v>
      </c>
      <c r="F854" s="24">
        <f>F855</f>
        <v>0</v>
      </c>
      <c r="G854" s="25">
        <f t="shared" si="34"/>
        <v>71000</v>
      </c>
    </row>
    <row r="855" spans="1:7" s="32" customFormat="1" ht="31.5">
      <c r="A855" s="26" t="s">
        <v>24</v>
      </c>
      <c r="B855" s="23" t="s">
        <v>586</v>
      </c>
      <c r="C855" s="19" t="s">
        <v>596</v>
      </c>
      <c r="D855" s="19">
        <v>240</v>
      </c>
      <c r="E855" s="24">
        <v>71000</v>
      </c>
      <c r="F855" s="29">
        <v>0</v>
      </c>
      <c r="G855" s="25">
        <f t="shared" si="34"/>
        <v>71000</v>
      </c>
    </row>
    <row r="856" spans="1:7" s="32" customFormat="1" ht="15.75">
      <c r="A856" s="26" t="s">
        <v>42</v>
      </c>
      <c r="B856" s="23" t="s">
        <v>586</v>
      </c>
      <c r="C856" s="19" t="s">
        <v>596</v>
      </c>
      <c r="D856" s="19">
        <v>300</v>
      </c>
      <c r="E856" s="24">
        <f>E857</f>
        <v>7029000</v>
      </c>
      <c r="F856" s="24">
        <f>F857</f>
        <v>0</v>
      </c>
      <c r="G856" s="25">
        <f t="shared" si="34"/>
        <v>7029000</v>
      </c>
    </row>
    <row r="857" spans="1:7" s="32" customFormat="1" ht="15.75">
      <c r="A857" s="26" t="s">
        <v>580</v>
      </c>
      <c r="B857" s="23" t="s">
        <v>586</v>
      </c>
      <c r="C857" s="19" t="s">
        <v>596</v>
      </c>
      <c r="D857" s="19">
        <v>310</v>
      </c>
      <c r="E857" s="24">
        <v>7029000</v>
      </c>
      <c r="F857" s="29">
        <v>0</v>
      </c>
      <c r="G857" s="25">
        <f t="shared" si="34"/>
        <v>7029000</v>
      </c>
    </row>
    <row r="858" spans="1:7" s="32" customFormat="1" ht="47.25">
      <c r="A858" s="26" t="s">
        <v>597</v>
      </c>
      <c r="B858" s="23" t="s">
        <v>586</v>
      </c>
      <c r="C858" s="19" t="s">
        <v>598</v>
      </c>
      <c r="D858" s="19"/>
      <c r="E858" s="29">
        <f>E861+E859</f>
        <v>253365802</v>
      </c>
      <c r="F858" s="29">
        <f>F861+F859</f>
        <v>22000000</v>
      </c>
      <c r="G858" s="25">
        <f t="shared" si="34"/>
        <v>275365802</v>
      </c>
    </row>
    <row r="859" spans="1:7" s="32" customFormat="1" ht="31.5">
      <c r="A859" s="30" t="s">
        <v>22</v>
      </c>
      <c r="B859" s="23" t="s">
        <v>586</v>
      </c>
      <c r="C859" s="19" t="s">
        <v>598</v>
      </c>
      <c r="D859" s="19">
        <v>200</v>
      </c>
      <c r="E859" s="29">
        <f>E860</f>
        <v>2533658</v>
      </c>
      <c r="F859" s="29">
        <f>F860</f>
        <v>398000</v>
      </c>
      <c r="G859" s="25">
        <f t="shared" si="34"/>
        <v>2931658</v>
      </c>
    </row>
    <row r="860" spans="1:7" s="32" customFormat="1" ht="31.5">
      <c r="A860" s="26" t="s">
        <v>24</v>
      </c>
      <c r="B860" s="23" t="s">
        <v>586</v>
      </c>
      <c r="C860" s="19" t="s">
        <v>598</v>
      </c>
      <c r="D860" s="19">
        <v>240</v>
      </c>
      <c r="E860" s="29">
        <v>2533658</v>
      </c>
      <c r="F860" s="29">
        <f>200000+198000</f>
        <v>398000</v>
      </c>
      <c r="G860" s="25">
        <f t="shared" si="34"/>
        <v>2931658</v>
      </c>
    </row>
    <row r="861" spans="1:7" s="32" customFormat="1" ht="15.75">
      <c r="A861" s="26" t="s">
        <v>42</v>
      </c>
      <c r="B861" s="23" t="s">
        <v>586</v>
      </c>
      <c r="C861" s="19" t="s">
        <v>598</v>
      </c>
      <c r="D861" s="19">
        <v>300</v>
      </c>
      <c r="E861" s="29">
        <f>SUM(E862:E863)</f>
        <v>250832144</v>
      </c>
      <c r="F861" s="29">
        <f>SUM(F862:F863)</f>
        <v>21602000</v>
      </c>
      <c r="G861" s="25">
        <f t="shared" si="34"/>
        <v>272434144</v>
      </c>
    </row>
    <row r="862" spans="1:7" s="32" customFormat="1" ht="15.75">
      <c r="A862" s="26" t="s">
        <v>580</v>
      </c>
      <c r="B862" s="23" t="s">
        <v>586</v>
      </c>
      <c r="C862" s="19" t="s">
        <v>598</v>
      </c>
      <c r="D862" s="19">
        <v>310</v>
      </c>
      <c r="E862" s="29">
        <v>217894594</v>
      </c>
      <c r="F862" s="29">
        <f>1200000+19802000</f>
        <v>21002000</v>
      </c>
      <c r="G862" s="25">
        <f t="shared" si="34"/>
        <v>238896594</v>
      </c>
    </row>
    <row r="863" spans="1:7" s="32" customFormat="1" ht="31.5">
      <c r="A863" s="26" t="s">
        <v>44</v>
      </c>
      <c r="B863" s="23" t="s">
        <v>586</v>
      </c>
      <c r="C863" s="19" t="s">
        <v>598</v>
      </c>
      <c r="D863" s="19">
        <v>320</v>
      </c>
      <c r="E863" s="29">
        <v>32937550</v>
      </c>
      <c r="F863" s="29">
        <v>600000</v>
      </c>
      <c r="G863" s="25">
        <f aca="true" t="shared" si="39" ref="G863:G926">SUM(E863:F863)</f>
        <v>33537550</v>
      </c>
    </row>
    <row r="864" spans="1:7" s="32" customFormat="1" ht="47.25">
      <c r="A864" s="26" t="s">
        <v>599</v>
      </c>
      <c r="B864" s="23" t="s">
        <v>586</v>
      </c>
      <c r="C864" s="19" t="s">
        <v>600</v>
      </c>
      <c r="D864" s="19"/>
      <c r="E864" s="29">
        <f>E867+E865</f>
        <v>48020</v>
      </c>
      <c r="F864" s="29">
        <f>F867+F865</f>
        <v>0</v>
      </c>
      <c r="G864" s="25">
        <f t="shared" si="39"/>
        <v>48020</v>
      </c>
    </row>
    <row r="865" spans="1:7" s="32" customFormat="1" ht="31.5">
      <c r="A865" s="30" t="s">
        <v>22</v>
      </c>
      <c r="B865" s="23" t="s">
        <v>586</v>
      </c>
      <c r="C865" s="19" t="s">
        <v>600</v>
      </c>
      <c r="D865" s="19">
        <v>200</v>
      </c>
      <c r="E865" s="29">
        <f>E866</f>
        <v>480</v>
      </c>
      <c r="F865" s="29">
        <f>F866</f>
        <v>0</v>
      </c>
      <c r="G865" s="25">
        <f t="shared" si="39"/>
        <v>480</v>
      </c>
    </row>
    <row r="866" spans="1:7" s="32" customFormat="1" ht="31.5">
      <c r="A866" s="26" t="s">
        <v>24</v>
      </c>
      <c r="B866" s="23" t="s">
        <v>586</v>
      </c>
      <c r="C866" s="19" t="s">
        <v>600</v>
      </c>
      <c r="D866" s="19">
        <v>240</v>
      </c>
      <c r="E866" s="29">
        <v>480</v>
      </c>
      <c r="F866" s="29">
        <v>0</v>
      </c>
      <c r="G866" s="25">
        <f t="shared" si="39"/>
        <v>480</v>
      </c>
    </row>
    <row r="867" spans="1:7" s="32" customFormat="1" ht="15.75">
      <c r="A867" s="26" t="s">
        <v>42</v>
      </c>
      <c r="B867" s="23" t="s">
        <v>586</v>
      </c>
      <c r="C867" s="19" t="s">
        <v>600</v>
      </c>
      <c r="D867" s="19">
        <v>300</v>
      </c>
      <c r="E867" s="29">
        <f>E868</f>
        <v>47540</v>
      </c>
      <c r="F867" s="29">
        <f>F868</f>
        <v>0</v>
      </c>
      <c r="G867" s="25">
        <f t="shared" si="39"/>
        <v>47540</v>
      </c>
    </row>
    <row r="868" spans="1:7" s="32" customFormat="1" ht="15.75">
      <c r="A868" s="26" t="s">
        <v>580</v>
      </c>
      <c r="B868" s="23" t="s">
        <v>586</v>
      </c>
      <c r="C868" s="19" t="s">
        <v>600</v>
      </c>
      <c r="D868" s="19">
        <v>310</v>
      </c>
      <c r="E868" s="29">
        <v>47540</v>
      </c>
      <c r="F868" s="29">
        <v>0</v>
      </c>
      <c r="G868" s="25">
        <f t="shared" si="39"/>
        <v>47540</v>
      </c>
    </row>
    <row r="869" spans="1:7" s="32" customFormat="1" ht="31.5">
      <c r="A869" s="26" t="s">
        <v>601</v>
      </c>
      <c r="B869" s="23" t="s">
        <v>586</v>
      </c>
      <c r="C869" s="19" t="s">
        <v>602</v>
      </c>
      <c r="D869" s="19"/>
      <c r="E869" s="29">
        <f>E872+E870</f>
        <v>700000</v>
      </c>
      <c r="F869" s="29">
        <f>F872+F870</f>
        <v>0</v>
      </c>
      <c r="G869" s="25">
        <f t="shared" si="39"/>
        <v>700000</v>
      </c>
    </row>
    <row r="870" spans="1:7" s="32" customFormat="1" ht="31.5">
      <c r="A870" s="30" t="s">
        <v>22</v>
      </c>
      <c r="B870" s="23" t="s">
        <v>586</v>
      </c>
      <c r="C870" s="19" t="s">
        <v>602</v>
      </c>
      <c r="D870" s="19">
        <v>200</v>
      </c>
      <c r="E870" s="29">
        <f>E871</f>
        <v>7000</v>
      </c>
      <c r="F870" s="29">
        <f>F871</f>
        <v>0</v>
      </c>
      <c r="G870" s="25">
        <f t="shared" si="39"/>
        <v>7000</v>
      </c>
    </row>
    <row r="871" spans="1:7" s="32" customFormat="1" ht="31.5">
      <c r="A871" s="26" t="s">
        <v>24</v>
      </c>
      <c r="B871" s="23" t="s">
        <v>586</v>
      </c>
      <c r="C871" s="19" t="s">
        <v>602</v>
      </c>
      <c r="D871" s="19">
        <v>240</v>
      </c>
      <c r="E871" s="29">
        <v>7000</v>
      </c>
      <c r="F871" s="29">
        <v>0</v>
      </c>
      <c r="G871" s="25">
        <f t="shared" si="39"/>
        <v>7000</v>
      </c>
    </row>
    <row r="872" spans="1:7" s="32" customFormat="1" ht="15.75">
      <c r="A872" s="26" t="s">
        <v>42</v>
      </c>
      <c r="B872" s="23" t="s">
        <v>586</v>
      </c>
      <c r="C872" s="19" t="s">
        <v>602</v>
      </c>
      <c r="D872" s="19">
        <v>300</v>
      </c>
      <c r="E872" s="29">
        <f>E873</f>
        <v>693000</v>
      </c>
      <c r="F872" s="29">
        <f>F873</f>
        <v>0</v>
      </c>
      <c r="G872" s="25">
        <f t="shared" si="39"/>
        <v>693000</v>
      </c>
    </row>
    <row r="873" spans="1:7" s="32" customFormat="1" ht="15.75">
      <c r="A873" s="26" t="s">
        <v>580</v>
      </c>
      <c r="B873" s="23" t="s">
        <v>586</v>
      </c>
      <c r="C873" s="19" t="s">
        <v>602</v>
      </c>
      <c r="D873" s="19">
        <v>310</v>
      </c>
      <c r="E873" s="29">
        <v>693000</v>
      </c>
      <c r="F873" s="29">
        <v>0</v>
      </c>
      <c r="G873" s="25">
        <f t="shared" si="39"/>
        <v>693000</v>
      </c>
    </row>
    <row r="874" spans="1:7" s="32" customFormat="1" ht="63">
      <c r="A874" s="26" t="s">
        <v>603</v>
      </c>
      <c r="B874" s="23" t="s">
        <v>586</v>
      </c>
      <c r="C874" s="19" t="s">
        <v>604</v>
      </c>
      <c r="D874" s="19"/>
      <c r="E874" s="29">
        <f>SUM(E877,E875)</f>
        <v>100000</v>
      </c>
      <c r="F874" s="29">
        <f>SUM(F877,F875)</f>
        <v>0</v>
      </c>
      <c r="G874" s="25">
        <f t="shared" si="39"/>
        <v>100000</v>
      </c>
    </row>
    <row r="875" spans="1:7" s="32" customFormat="1" ht="31.5">
      <c r="A875" s="30" t="s">
        <v>22</v>
      </c>
      <c r="B875" s="23" t="s">
        <v>586</v>
      </c>
      <c r="C875" s="19" t="s">
        <v>604</v>
      </c>
      <c r="D875" s="19">
        <v>200</v>
      </c>
      <c r="E875" s="29">
        <f>E876</f>
        <v>1000</v>
      </c>
      <c r="F875" s="29">
        <f>F876</f>
        <v>0</v>
      </c>
      <c r="G875" s="25">
        <f t="shared" si="39"/>
        <v>1000</v>
      </c>
    </row>
    <row r="876" spans="1:7" s="32" customFormat="1" ht="31.5">
      <c r="A876" s="26" t="s">
        <v>24</v>
      </c>
      <c r="B876" s="23" t="s">
        <v>586</v>
      </c>
      <c r="C876" s="19" t="s">
        <v>604</v>
      </c>
      <c r="D876" s="19">
        <v>240</v>
      </c>
      <c r="E876" s="29">
        <v>1000</v>
      </c>
      <c r="F876" s="29">
        <v>0</v>
      </c>
      <c r="G876" s="25">
        <f t="shared" si="39"/>
        <v>1000</v>
      </c>
    </row>
    <row r="877" spans="1:7" s="32" customFormat="1" ht="15.75">
      <c r="A877" s="26" t="s">
        <v>42</v>
      </c>
      <c r="B877" s="23" t="s">
        <v>586</v>
      </c>
      <c r="C877" s="19" t="s">
        <v>604</v>
      </c>
      <c r="D877" s="19">
        <v>300</v>
      </c>
      <c r="E877" s="29">
        <f>E878</f>
        <v>99000</v>
      </c>
      <c r="F877" s="29">
        <f>F878</f>
        <v>0</v>
      </c>
      <c r="G877" s="25">
        <f t="shared" si="39"/>
        <v>99000</v>
      </c>
    </row>
    <row r="878" spans="1:7" s="32" customFormat="1" ht="15.75">
      <c r="A878" s="26" t="s">
        <v>580</v>
      </c>
      <c r="B878" s="23" t="s">
        <v>586</v>
      </c>
      <c r="C878" s="19" t="s">
        <v>604</v>
      </c>
      <c r="D878" s="19">
        <v>310</v>
      </c>
      <c r="E878" s="29">
        <v>99000</v>
      </c>
      <c r="F878" s="29">
        <v>0</v>
      </c>
      <c r="G878" s="25">
        <f t="shared" si="39"/>
        <v>99000</v>
      </c>
    </row>
    <row r="879" spans="1:7" s="32" customFormat="1" ht="31.5">
      <c r="A879" s="26" t="s">
        <v>605</v>
      </c>
      <c r="B879" s="23" t="s">
        <v>586</v>
      </c>
      <c r="C879" s="19" t="s">
        <v>606</v>
      </c>
      <c r="D879" s="19"/>
      <c r="E879" s="29">
        <f>E882+E880</f>
        <v>800000</v>
      </c>
      <c r="F879" s="29">
        <f>F882+F880</f>
        <v>0</v>
      </c>
      <c r="G879" s="25">
        <f t="shared" si="39"/>
        <v>800000</v>
      </c>
    </row>
    <row r="880" spans="1:7" s="32" customFormat="1" ht="31.5">
      <c r="A880" s="30" t="s">
        <v>22</v>
      </c>
      <c r="B880" s="23" t="s">
        <v>586</v>
      </c>
      <c r="C880" s="19" t="s">
        <v>606</v>
      </c>
      <c r="D880" s="19">
        <v>200</v>
      </c>
      <c r="E880" s="29">
        <f>E881</f>
        <v>200000</v>
      </c>
      <c r="F880" s="29">
        <f>F881</f>
        <v>0</v>
      </c>
      <c r="G880" s="25">
        <f t="shared" si="39"/>
        <v>200000</v>
      </c>
    </row>
    <row r="881" spans="1:7" s="32" customFormat="1" ht="31.5">
      <c r="A881" s="26" t="s">
        <v>24</v>
      </c>
      <c r="B881" s="23">
        <v>1003</v>
      </c>
      <c r="C881" s="19" t="s">
        <v>606</v>
      </c>
      <c r="D881" s="19">
        <v>240</v>
      </c>
      <c r="E881" s="29">
        <v>200000</v>
      </c>
      <c r="F881" s="29">
        <v>0</v>
      </c>
      <c r="G881" s="25">
        <f t="shared" si="39"/>
        <v>200000</v>
      </c>
    </row>
    <row r="882" spans="1:7" s="32" customFormat="1" ht="15.75">
      <c r="A882" s="26" t="s">
        <v>42</v>
      </c>
      <c r="B882" s="23" t="s">
        <v>586</v>
      </c>
      <c r="C882" s="19" t="s">
        <v>606</v>
      </c>
      <c r="D882" s="19">
        <v>300</v>
      </c>
      <c r="E882" s="29">
        <f>E883</f>
        <v>600000</v>
      </c>
      <c r="F882" s="29">
        <f>F883</f>
        <v>0</v>
      </c>
      <c r="G882" s="25">
        <f t="shared" si="39"/>
        <v>600000</v>
      </c>
    </row>
    <row r="883" spans="1:7" s="32" customFormat="1" ht="15.75">
      <c r="A883" s="26" t="s">
        <v>580</v>
      </c>
      <c r="B883" s="23" t="s">
        <v>586</v>
      </c>
      <c r="C883" s="19" t="s">
        <v>606</v>
      </c>
      <c r="D883" s="19">
        <v>310</v>
      </c>
      <c r="E883" s="29">
        <v>600000</v>
      </c>
      <c r="F883" s="29">
        <v>0</v>
      </c>
      <c r="G883" s="25">
        <f t="shared" si="39"/>
        <v>600000</v>
      </c>
    </row>
    <row r="884" spans="1:7" s="32" customFormat="1" ht="47.25">
      <c r="A884" s="26" t="s">
        <v>607</v>
      </c>
      <c r="B884" s="23">
        <v>1003</v>
      </c>
      <c r="C884" s="19" t="s">
        <v>608</v>
      </c>
      <c r="D884" s="19"/>
      <c r="E884" s="29">
        <f>E887+E885</f>
        <v>5000000</v>
      </c>
      <c r="F884" s="29">
        <f>F887+F885</f>
        <v>0</v>
      </c>
      <c r="G884" s="25">
        <f t="shared" si="39"/>
        <v>5000000</v>
      </c>
    </row>
    <row r="885" spans="1:7" s="32" customFormat="1" ht="31.5">
      <c r="A885" s="30" t="s">
        <v>22</v>
      </c>
      <c r="B885" s="23">
        <v>1003</v>
      </c>
      <c r="C885" s="19" t="s">
        <v>608</v>
      </c>
      <c r="D885" s="19">
        <v>200</v>
      </c>
      <c r="E885" s="29">
        <f>E886</f>
        <v>50000</v>
      </c>
      <c r="F885" s="29">
        <f>F886</f>
        <v>0</v>
      </c>
      <c r="G885" s="25">
        <f t="shared" si="39"/>
        <v>50000</v>
      </c>
    </row>
    <row r="886" spans="1:7" s="32" customFormat="1" ht="31.5">
      <c r="A886" s="26" t="s">
        <v>24</v>
      </c>
      <c r="B886" s="23">
        <v>1003</v>
      </c>
      <c r="C886" s="19" t="s">
        <v>608</v>
      </c>
      <c r="D886" s="19">
        <v>240</v>
      </c>
      <c r="E886" s="29">
        <v>50000</v>
      </c>
      <c r="F886" s="29">
        <v>0</v>
      </c>
      <c r="G886" s="25">
        <f t="shared" si="39"/>
        <v>50000</v>
      </c>
    </row>
    <row r="887" spans="1:7" s="32" customFormat="1" ht="15.75">
      <c r="A887" s="26" t="s">
        <v>42</v>
      </c>
      <c r="B887" s="23" t="s">
        <v>586</v>
      </c>
      <c r="C887" s="19" t="s">
        <v>608</v>
      </c>
      <c r="D887" s="19">
        <v>300</v>
      </c>
      <c r="E887" s="29">
        <f>E888</f>
        <v>4950000</v>
      </c>
      <c r="F887" s="29">
        <f>F888</f>
        <v>0</v>
      </c>
      <c r="G887" s="25">
        <f t="shared" si="39"/>
        <v>4950000</v>
      </c>
    </row>
    <row r="888" spans="1:7" s="32" customFormat="1" ht="15.75">
      <c r="A888" s="26" t="s">
        <v>580</v>
      </c>
      <c r="B888" s="23" t="s">
        <v>586</v>
      </c>
      <c r="C888" s="19" t="s">
        <v>608</v>
      </c>
      <c r="D888" s="19">
        <v>310</v>
      </c>
      <c r="E888" s="29">
        <v>4950000</v>
      </c>
      <c r="F888" s="29">
        <v>0</v>
      </c>
      <c r="G888" s="25">
        <f t="shared" si="39"/>
        <v>4950000</v>
      </c>
    </row>
    <row r="889" spans="1:7" s="32" customFormat="1" ht="15.75">
      <c r="A889" s="26" t="s">
        <v>609</v>
      </c>
      <c r="B889" s="23">
        <v>1003</v>
      </c>
      <c r="C889" s="19" t="s">
        <v>610</v>
      </c>
      <c r="D889" s="19"/>
      <c r="E889" s="29">
        <f>E892+E890</f>
        <v>600000</v>
      </c>
      <c r="F889" s="29">
        <f>F892+F890</f>
        <v>0</v>
      </c>
      <c r="G889" s="25">
        <f t="shared" si="39"/>
        <v>600000</v>
      </c>
    </row>
    <row r="890" spans="1:7" s="32" customFormat="1" ht="31.5">
      <c r="A890" s="30" t="s">
        <v>22</v>
      </c>
      <c r="B890" s="23">
        <v>1003</v>
      </c>
      <c r="C890" s="19" t="s">
        <v>610</v>
      </c>
      <c r="D890" s="19">
        <v>200</v>
      </c>
      <c r="E890" s="29">
        <f>E891</f>
        <v>6000</v>
      </c>
      <c r="F890" s="29">
        <f>F891</f>
        <v>0</v>
      </c>
      <c r="G890" s="25">
        <f t="shared" si="39"/>
        <v>6000</v>
      </c>
    </row>
    <row r="891" spans="1:7" s="32" customFormat="1" ht="31.5">
      <c r="A891" s="26" t="s">
        <v>24</v>
      </c>
      <c r="B891" s="23">
        <v>1003</v>
      </c>
      <c r="C891" s="19" t="s">
        <v>610</v>
      </c>
      <c r="D891" s="19">
        <v>240</v>
      </c>
      <c r="E891" s="29">
        <v>6000</v>
      </c>
      <c r="F891" s="29">
        <v>0</v>
      </c>
      <c r="G891" s="25">
        <f t="shared" si="39"/>
        <v>6000</v>
      </c>
    </row>
    <row r="892" spans="1:7" s="32" customFormat="1" ht="15.75">
      <c r="A892" s="26" t="s">
        <v>42</v>
      </c>
      <c r="B892" s="23" t="s">
        <v>586</v>
      </c>
      <c r="C892" s="19" t="s">
        <v>610</v>
      </c>
      <c r="D892" s="19">
        <v>300</v>
      </c>
      <c r="E892" s="29">
        <f>E893</f>
        <v>594000</v>
      </c>
      <c r="F892" s="29">
        <f>F893</f>
        <v>0</v>
      </c>
      <c r="G892" s="25">
        <f t="shared" si="39"/>
        <v>594000</v>
      </c>
    </row>
    <row r="893" spans="1:7" s="32" customFormat="1" ht="15.75">
      <c r="A893" s="26" t="s">
        <v>580</v>
      </c>
      <c r="B893" s="23" t="s">
        <v>586</v>
      </c>
      <c r="C893" s="19" t="s">
        <v>610</v>
      </c>
      <c r="D893" s="19">
        <v>310</v>
      </c>
      <c r="E893" s="29">
        <v>594000</v>
      </c>
      <c r="F893" s="29">
        <v>0</v>
      </c>
      <c r="G893" s="25">
        <f t="shared" si="39"/>
        <v>594000</v>
      </c>
    </row>
    <row r="894" spans="1:7" s="32" customFormat="1" ht="47.25">
      <c r="A894" s="26" t="s">
        <v>611</v>
      </c>
      <c r="B894" s="23" t="s">
        <v>586</v>
      </c>
      <c r="C894" s="19" t="s">
        <v>612</v>
      </c>
      <c r="D894" s="19"/>
      <c r="E894" s="29">
        <f>E897+E895</f>
        <v>21261180</v>
      </c>
      <c r="F894" s="29">
        <f>F897+F895</f>
        <v>-6723607</v>
      </c>
      <c r="G894" s="25">
        <f t="shared" si="39"/>
        <v>14537573</v>
      </c>
    </row>
    <row r="895" spans="1:7" s="32" customFormat="1" ht="31.5">
      <c r="A895" s="30" t="s">
        <v>22</v>
      </c>
      <c r="B895" s="23" t="s">
        <v>586</v>
      </c>
      <c r="C895" s="19" t="s">
        <v>612</v>
      </c>
      <c r="D895" s="19">
        <v>200</v>
      </c>
      <c r="E895" s="29">
        <f>E896</f>
        <v>251963</v>
      </c>
      <c r="F895" s="29">
        <f>F896</f>
        <v>-108096.45</v>
      </c>
      <c r="G895" s="25">
        <f t="shared" si="39"/>
        <v>143866.55</v>
      </c>
    </row>
    <row r="896" spans="1:7" s="32" customFormat="1" ht="31.5">
      <c r="A896" s="26" t="s">
        <v>24</v>
      </c>
      <c r="B896" s="23" t="s">
        <v>586</v>
      </c>
      <c r="C896" s="19" t="s">
        <v>612</v>
      </c>
      <c r="D896" s="19">
        <v>240</v>
      </c>
      <c r="E896" s="29">
        <v>251963</v>
      </c>
      <c r="F896" s="29">
        <v>-108096.45</v>
      </c>
      <c r="G896" s="25">
        <f t="shared" si="39"/>
        <v>143866.55</v>
      </c>
    </row>
    <row r="897" spans="1:7" s="32" customFormat="1" ht="15.75">
      <c r="A897" s="26" t="s">
        <v>42</v>
      </c>
      <c r="B897" s="23" t="s">
        <v>586</v>
      </c>
      <c r="C897" s="19" t="s">
        <v>612</v>
      </c>
      <c r="D897" s="19">
        <v>300</v>
      </c>
      <c r="E897" s="29">
        <f>E898</f>
        <v>21009217</v>
      </c>
      <c r="F897" s="29">
        <f>F898</f>
        <v>-6615510.55</v>
      </c>
      <c r="G897" s="25">
        <f t="shared" si="39"/>
        <v>14393706.45</v>
      </c>
    </row>
    <row r="898" spans="1:7" s="32" customFormat="1" ht="15.75">
      <c r="A898" s="26" t="s">
        <v>580</v>
      </c>
      <c r="B898" s="23" t="s">
        <v>586</v>
      </c>
      <c r="C898" s="19" t="s">
        <v>612</v>
      </c>
      <c r="D898" s="19">
        <v>310</v>
      </c>
      <c r="E898" s="29">
        <v>21009217</v>
      </c>
      <c r="F898" s="29">
        <v>-6615510.55</v>
      </c>
      <c r="G898" s="25">
        <f t="shared" si="39"/>
        <v>14393706.45</v>
      </c>
    </row>
    <row r="899" spans="1:7" s="32" customFormat="1" ht="47.25">
      <c r="A899" s="26" t="s">
        <v>613</v>
      </c>
      <c r="B899" s="23" t="s">
        <v>586</v>
      </c>
      <c r="C899" s="19" t="s">
        <v>614</v>
      </c>
      <c r="D899" s="19"/>
      <c r="E899" s="29">
        <f>E900</f>
        <v>2289129</v>
      </c>
      <c r="F899" s="29">
        <f>F900</f>
        <v>0</v>
      </c>
      <c r="G899" s="25">
        <f t="shared" si="39"/>
        <v>2289129</v>
      </c>
    </row>
    <row r="900" spans="1:7" s="32" customFormat="1" ht="15.75">
      <c r="A900" s="26" t="s">
        <v>42</v>
      </c>
      <c r="B900" s="23" t="s">
        <v>586</v>
      </c>
      <c r="C900" s="19" t="s">
        <v>614</v>
      </c>
      <c r="D900" s="19">
        <v>300</v>
      </c>
      <c r="E900" s="29">
        <f>E901</f>
        <v>2289129</v>
      </c>
      <c r="F900" s="29">
        <f>F901</f>
        <v>0</v>
      </c>
      <c r="G900" s="25">
        <f t="shared" si="39"/>
        <v>2289129</v>
      </c>
    </row>
    <row r="901" spans="1:7" s="32" customFormat="1" ht="15.75">
      <c r="A901" s="26" t="s">
        <v>580</v>
      </c>
      <c r="B901" s="23" t="s">
        <v>586</v>
      </c>
      <c r="C901" s="19" t="s">
        <v>614</v>
      </c>
      <c r="D901" s="19">
        <v>310</v>
      </c>
      <c r="E901" s="29">
        <v>2289129</v>
      </c>
      <c r="F901" s="29">
        <v>0</v>
      </c>
      <c r="G901" s="25">
        <f t="shared" si="39"/>
        <v>2289129</v>
      </c>
    </row>
    <row r="902" spans="1:7" s="32" customFormat="1" ht="15.75">
      <c r="A902" s="22" t="s">
        <v>214</v>
      </c>
      <c r="B902" s="23">
        <v>1003</v>
      </c>
      <c r="C902" s="19" t="s">
        <v>215</v>
      </c>
      <c r="D902" s="19"/>
      <c r="E902" s="24">
        <f>E903+E908+E914+E911</f>
        <v>4450000</v>
      </c>
      <c r="F902" s="24">
        <f>F903+F908+F914+F911</f>
        <v>0</v>
      </c>
      <c r="G902" s="25">
        <f t="shared" si="39"/>
        <v>4450000</v>
      </c>
    </row>
    <row r="903" spans="1:7" s="32" customFormat="1" ht="78.75">
      <c r="A903" s="26" t="s">
        <v>552</v>
      </c>
      <c r="B903" s="23">
        <v>1003</v>
      </c>
      <c r="C903" s="19" t="s">
        <v>553</v>
      </c>
      <c r="D903" s="19"/>
      <c r="E903" s="24">
        <f>E906+E904</f>
        <v>1500000</v>
      </c>
      <c r="F903" s="24">
        <f>F906+F904</f>
        <v>0</v>
      </c>
      <c r="G903" s="25">
        <f t="shared" si="39"/>
        <v>1500000</v>
      </c>
    </row>
    <row r="904" spans="1:7" s="32" customFormat="1" ht="31.5">
      <c r="A904" s="30" t="s">
        <v>22</v>
      </c>
      <c r="B904" s="23">
        <v>1003</v>
      </c>
      <c r="C904" s="19" t="s">
        <v>553</v>
      </c>
      <c r="D904" s="19">
        <v>200</v>
      </c>
      <c r="E904" s="29">
        <f>E905</f>
        <v>600000</v>
      </c>
      <c r="F904" s="29">
        <f>F905</f>
        <v>0</v>
      </c>
      <c r="G904" s="25">
        <f t="shared" si="39"/>
        <v>600000</v>
      </c>
    </row>
    <row r="905" spans="1:7" s="32" customFormat="1" ht="31.5">
      <c r="A905" s="30" t="s">
        <v>24</v>
      </c>
      <c r="B905" s="23">
        <v>1003</v>
      </c>
      <c r="C905" s="19" t="s">
        <v>553</v>
      </c>
      <c r="D905" s="19">
        <v>240</v>
      </c>
      <c r="E905" s="29">
        <v>600000</v>
      </c>
      <c r="F905" s="29">
        <v>0</v>
      </c>
      <c r="G905" s="25">
        <f t="shared" si="39"/>
        <v>600000</v>
      </c>
    </row>
    <row r="906" spans="1:7" s="32" customFormat="1" ht="31.5">
      <c r="A906" s="26" t="s">
        <v>236</v>
      </c>
      <c r="B906" s="23">
        <v>1003</v>
      </c>
      <c r="C906" s="19" t="s">
        <v>553</v>
      </c>
      <c r="D906" s="19">
        <v>400</v>
      </c>
      <c r="E906" s="24">
        <f>E907</f>
        <v>900000</v>
      </c>
      <c r="F906" s="24">
        <f>F907</f>
        <v>0</v>
      </c>
      <c r="G906" s="25">
        <f t="shared" si="39"/>
        <v>900000</v>
      </c>
    </row>
    <row r="907" spans="1:7" s="32" customFormat="1" ht="15.75">
      <c r="A907" s="26" t="s">
        <v>237</v>
      </c>
      <c r="B907" s="23">
        <v>1003</v>
      </c>
      <c r="C907" s="19" t="s">
        <v>553</v>
      </c>
      <c r="D907" s="19">
        <v>410</v>
      </c>
      <c r="E907" s="24">
        <v>900000</v>
      </c>
      <c r="F907" s="29">
        <v>0</v>
      </c>
      <c r="G907" s="25">
        <f t="shared" si="39"/>
        <v>900000</v>
      </c>
    </row>
    <row r="908" spans="1:7" s="32" customFormat="1" ht="31.5">
      <c r="A908" s="46" t="s">
        <v>615</v>
      </c>
      <c r="B908" s="23">
        <v>1003</v>
      </c>
      <c r="C908" s="19" t="s">
        <v>616</v>
      </c>
      <c r="D908" s="19"/>
      <c r="E908" s="29">
        <f>E909</f>
        <v>1550000</v>
      </c>
      <c r="F908" s="29">
        <f>F909</f>
        <v>0</v>
      </c>
      <c r="G908" s="25">
        <f t="shared" si="39"/>
        <v>1550000</v>
      </c>
    </row>
    <row r="909" spans="1:7" s="32" customFormat="1" ht="31.5">
      <c r="A909" s="30" t="s">
        <v>22</v>
      </c>
      <c r="B909" s="23">
        <v>1003</v>
      </c>
      <c r="C909" s="19" t="s">
        <v>616</v>
      </c>
      <c r="D909" s="19">
        <v>200</v>
      </c>
      <c r="E909" s="29">
        <f>E910</f>
        <v>1550000</v>
      </c>
      <c r="F909" s="29">
        <f>F910</f>
        <v>0</v>
      </c>
      <c r="G909" s="25">
        <f t="shared" si="39"/>
        <v>1550000</v>
      </c>
    </row>
    <row r="910" spans="1:7" s="32" customFormat="1" ht="31.5">
      <c r="A910" s="30" t="s">
        <v>24</v>
      </c>
      <c r="B910" s="23">
        <v>1003</v>
      </c>
      <c r="C910" s="19" t="s">
        <v>616</v>
      </c>
      <c r="D910" s="19">
        <v>240</v>
      </c>
      <c r="E910" s="29">
        <v>1550000</v>
      </c>
      <c r="F910" s="29">
        <v>0</v>
      </c>
      <c r="G910" s="25">
        <f t="shared" si="39"/>
        <v>1550000</v>
      </c>
    </row>
    <row r="911" spans="1:7" s="32" customFormat="1" ht="31.5">
      <c r="A911" s="26" t="s">
        <v>617</v>
      </c>
      <c r="B911" s="23">
        <v>1003</v>
      </c>
      <c r="C911" s="19" t="s">
        <v>618</v>
      </c>
      <c r="D911" s="19"/>
      <c r="E911" s="29">
        <f>E912</f>
        <v>1200000</v>
      </c>
      <c r="F911" s="29">
        <f>F912</f>
        <v>0</v>
      </c>
      <c r="G911" s="25">
        <f t="shared" si="39"/>
        <v>1200000</v>
      </c>
    </row>
    <row r="912" spans="1:7" s="32" customFormat="1" ht="31.5">
      <c r="A912" s="30" t="s">
        <v>22</v>
      </c>
      <c r="B912" s="23">
        <v>1003</v>
      </c>
      <c r="C912" s="19" t="s">
        <v>618</v>
      </c>
      <c r="D912" s="19">
        <v>200</v>
      </c>
      <c r="E912" s="29">
        <f>E913</f>
        <v>1200000</v>
      </c>
      <c r="F912" s="29">
        <f>F913</f>
        <v>0</v>
      </c>
      <c r="G912" s="25">
        <f t="shared" si="39"/>
        <v>1200000</v>
      </c>
    </row>
    <row r="913" spans="1:7" s="32" customFormat="1" ht="31.5">
      <c r="A913" s="30" t="s">
        <v>24</v>
      </c>
      <c r="B913" s="23">
        <v>1003</v>
      </c>
      <c r="C913" s="19" t="s">
        <v>618</v>
      </c>
      <c r="D913" s="19">
        <v>240</v>
      </c>
      <c r="E913" s="29">
        <v>1200000</v>
      </c>
      <c r="F913" s="29">
        <v>0</v>
      </c>
      <c r="G913" s="25">
        <f t="shared" si="39"/>
        <v>1200000</v>
      </c>
    </row>
    <row r="914" spans="1:7" s="32" customFormat="1" ht="31.5">
      <c r="A914" s="26" t="s">
        <v>619</v>
      </c>
      <c r="B914" s="23">
        <v>1003</v>
      </c>
      <c r="C914" s="19" t="s">
        <v>620</v>
      </c>
      <c r="D914" s="19"/>
      <c r="E914" s="29">
        <f>E915</f>
        <v>200000</v>
      </c>
      <c r="F914" s="29">
        <f>F915</f>
        <v>0</v>
      </c>
      <c r="G914" s="25">
        <f t="shared" si="39"/>
        <v>200000</v>
      </c>
    </row>
    <row r="915" spans="1:7" s="32" customFormat="1" ht="31.5">
      <c r="A915" s="30" t="s">
        <v>22</v>
      </c>
      <c r="B915" s="23">
        <v>1003</v>
      </c>
      <c r="C915" s="19" t="s">
        <v>620</v>
      </c>
      <c r="D915" s="19">
        <v>200</v>
      </c>
      <c r="E915" s="29">
        <f>E916</f>
        <v>200000</v>
      </c>
      <c r="F915" s="29">
        <f>F916</f>
        <v>0</v>
      </c>
      <c r="G915" s="25">
        <f t="shared" si="39"/>
        <v>200000</v>
      </c>
    </row>
    <row r="916" spans="1:7" s="32" customFormat="1" ht="31.5">
      <c r="A916" s="30" t="s">
        <v>24</v>
      </c>
      <c r="B916" s="23">
        <v>1003</v>
      </c>
      <c r="C916" s="19" t="s">
        <v>620</v>
      </c>
      <c r="D916" s="19">
        <v>240</v>
      </c>
      <c r="E916" s="29">
        <v>200000</v>
      </c>
      <c r="F916" s="29">
        <v>0</v>
      </c>
      <c r="G916" s="25">
        <f t="shared" si="39"/>
        <v>200000</v>
      </c>
    </row>
    <row r="917" spans="1:7" s="32" customFormat="1" ht="15.75">
      <c r="A917" s="26" t="s">
        <v>621</v>
      </c>
      <c r="B917" s="23">
        <v>1003</v>
      </c>
      <c r="C917" s="19" t="s">
        <v>622</v>
      </c>
      <c r="D917" s="19"/>
      <c r="E917" s="29">
        <f>E918</f>
        <v>13400000</v>
      </c>
      <c r="F917" s="29">
        <f>F918</f>
        <v>0</v>
      </c>
      <c r="G917" s="25">
        <f t="shared" si="39"/>
        <v>13400000</v>
      </c>
    </row>
    <row r="918" spans="1:7" s="32" customFormat="1" ht="31.5">
      <c r="A918" s="26" t="s">
        <v>623</v>
      </c>
      <c r="B918" s="23">
        <v>1003</v>
      </c>
      <c r="C918" s="19" t="s">
        <v>624</v>
      </c>
      <c r="D918" s="19"/>
      <c r="E918" s="29">
        <f>E921+E919</f>
        <v>13400000</v>
      </c>
      <c r="F918" s="29">
        <f>F921+F919</f>
        <v>0</v>
      </c>
      <c r="G918" s="25">
        <f t="shared" si="39"/>
        <v>13400000</v>
      </c>
    </row>
    <row r="919" spans="1:7" s="32" customFormat="1" ht="31.5">
      <c r="A919" s="30" t="s">
        <v>22</v>
      </c>
      <c r="B919" s="23">
        <v>1003</v>
      </c>
      <c r="C919" s="19" t="s">
        <v>624</v>
      </c>
      <c r="D919" s="19">
        <v>200</v>
      </c>
      <c r="E919" s="29">
        <f>E920</f>
        <v>146715</v>
      </c>
      <c r="F919" s="29">
        <f>F920</f>
        <v>0</v>
      </c>
      <c r="G919" s="25">
        <f t="shared" si="39"/>
        <v>146715</v>
      </c>
    </row>
    <row r="920" spans="1:7" s="32" customFormat="1" ht="31.5">
      <c r="A920" s="30" t="s">
        <v>24</v>
      </c>
      <c r="B920" s="23">
        <v>1003</v>
      </c>
      <c r="C920" s="19" t="s">
        <v>624</v>
      </c>
      <c r="D920" s="19">
        <v>240</v>
      </c>
      <c r="E920" s="29">
        <v>146715</v>
      </c>
      <c r="F920" s="29">
        <v>0</v>
      </c>
      <c r="G920" s="25">
        <f t="shared" si="39"/>
        <v>146715</v>
      </c>
    </row>
    <row r="921" spans="1:7" s="32" customFormat="1" ht="15.75">
      <c r="A921" s="26" t="s">
        <v>42</v>
      </c>
      <c r="B921" s="23">
        <v>1003</v>
      </c>
      <c r="C921" s="19" t="s">
        <v>624</v>
      </c>
      <c r="D921" s="19">
        <v>300</v>
      </c>
      <c r="E921" s="29">
        <f>E922</f>
        <v>13253285</v>
      </c>
      <c r="F921" s="29">
        <f>F922</f>
        <v>0</v>
      </c>
      <c r="G921" s="25">
        <f t="shared" si="39"/>
        <v>13253285</v>
      </c>
    </row>
    <row r="922" spans="1:7" s="32" customFormat="1" ht="31.5">
      <c r="A922" s="26" t="s">
        <v>44</v>
      </c>
      <c r="B922" s="23">
        <v>1003</v>
      </c>
      <c r="C922" s="19" t="s">
        <v>624</v>
      </c>
      <c r="D922" s="19">
        <v>320</v>
      </c>
      <c r="E922" s="29">
        <v>13253285</v>
      </c>
      <c r="F922" s="29">
        <v>0</v>
      </c>
      <c r="G922" s="25">
        <f t="shared" si="39"/>
        <v>13253285</v>
      </c>
    </row>
    <row r="923" spans="1:7" s="32" customFormat="1" ht="15.75">
      <c r="A923" s="26" t="s">
        <v>625</v>
      </c>
      <c r="B923" s="23">
        <v>1003</v>
      </c>
      <c r="C923" s="19" t="s">
        <v>626</v>
      </c>
      <c r="D923" s="19"/>
      <c r="E923" s="29">
        <f aca="true" t="shared" si="40" ref="E923:F925">E924</f>
        <v>17872294.880000003</v>
      </c>
      <c r="F923" s="29">
        <f t="shared" si="40"/>
        <v>-17872294.88</v>
      </c>
      <c r="G923" s="25">
        <f t="shared" si="39"/>
        <v>0</v>
      </c>
    </row>
    <row r="924" spans="1:7" s="32" customFormat="1" ht="31.5">
      <c r="A924" s="26" t="s">
        <v>627</v>
      </c>
      <c r="B924" s="23" t="s">
        <v>586</v>
      </c>
      <c r="C924" s="19" t="s">
        <v>628</v>
      </c>
      <c r="D924" s="19"/>
      <c r="E924" s="29">
        <f t="shared" si="40"/>
        <v>17872294.880000003</v>
      </c>
      <c r="F924" s="29">
        <f t="shared" si="40"/>
        <v>-17872294.88</v>
      </c>
      <c r="G924" s="25">
        <f t="shared" si="39"/>
        <v>0</v>
      </c>
    </row>
    <row r="925" spans="1:7" s="32" customFormat="1" ht="15.75">
      <c r="A925" s="26" t="s">
        <v>42</v>
      </c>
      <c r="B925" s="23" t="s">
        <v>586</v>
      </c>
      <c r="C925" s="19" t="s">
        <v>628</v>
      </c>
      <c r="D925" s="19">
        <v>300</v>
      </c>
      <c r="E925" s="29">
        <f t="shared" si="40"/>
        <v>17872294.880000003</v>
      </c>
      <c r="F925" s="29">
        <f t="shared" si="40"/>
        <v>-17872294.88</v>
      </c>
      <c r="G925" s="25">
        <f t="shared" si="39"/>
        <v>0</v>
      </c>
    </row>
    <row r="926" spans="1:7" s="32" customFormat="1" ht="31.5">
      <c r="A926" s="26" t="s">
        <v>44</v>
      </c>
      <c r="B926" s="23" t="s">
        <v>586</v>
      </c>
      <c r="C926" s="19" t="s">
        <v>628</v>
      </c>
      <c r="D926" s="19">
        <v>320</v>
      </c>
      <c r="E926" s="29">
        <f>4000000+13872294.88</f>
        <v>17872294.880000003</v>
      </c>
      <c r="F926" s="29">
        <v>-17872294.88</v>
      </c>
      <c r="G926" s="25">
        <f t="shared" si="39"/>
        <v>0</v>
      </c>
    </row>
    <row r="927" spans="1:7" s="32" customFormat="1" ht="15.75">
      <c r="A927" s="67" t="s">
        <v>629</v>
      </c>
      <c r="B927" s="18" t="s">
        <v>630</v>
      </c>
      <c r="C927" s="19"/>
      <c r="D927" s="19"/>
      <c r="E927" s="20">
        <f>E928+E935</f>
        <v>255096228</v>
      </c>
      <c r="F927" s="20">
        <f>F928+F935</f>
        <v>179286121.79999998</v>
      </c>
      <c r="G927" s="21">
        <f aca="true" t="shared" si="41" ref="G927:G990">SUM(E927:F927)</f>
        <v>434382349.79999995</v>
      </c>
    </row>
    <row r="928" spans="1:7" s="32" customFormat="1" ht="31.5">
      <c r="A928" s="26" t="s">
        <v>631</v>
      </c>
      <c r="B928" s="23" t="s">
        <v>630</v>
      </c>
      <c r="C928" s="19" t="s">
        <v>402</v>
      </c>
      <c r="D928" s="19"/>
      <c r="E928" s="24">
        <f>E929</f>
        <v>11751281</v>
      </c>
      <c r="F928" s="24">
        <f>F929</f>
        <v>-4269991</v>
      </c>
      <c r="G928" s="25">
        <f t="shared" si="41"/>
        <v>7481290</v>
      </c>
    </row>
    <row r="929" spans="1:7" s="32" customFormat="1" ht="31.5">
      <c r="A929" s="46" t="s">
        <v>454</v>
      </c>
      <c r="B929" s="23" t="s">
        <v>630</v>
      </c>
      <c r="C929" s="19" t="s">
        <v>455</v>
      </c>
      <c r="D929" s="19"/>
      <c r="E929" s="24">
        <f>E930</f>
        <v>11751281</v>
      </c>
      <c r="F929" s="24">
        <f>F930</f>
        <v>-4269991</v>
      </c>
      <c r="G929" s="25">
        <f t="shared" si="41"/>
        <v>7481290</v>
      </c>
    </row>
    <row r="930" spans="1:7" s="32" customFormat="1" ht="15.75">
      <c r="A930" s="46" t="s">
        <v>632</v>
      </c>
      <c r="B930" s="23" t="s">
        <v>630</v>
      </c>
      <c r="C930" s="19" t="s">
        <v>633</v>
      </c>
      <c r="D930" s="19"/>
      <c r="E930" s="24">
        <f>SUM(E931,E933)</f>
        <v>11751281</v>
      </c>
      <c r="F930" s="24">
        <f>SUM(F931,F933)</f>
        <v>-4269991</v>
      </c>
      <c r="G930" s="25">
        <f t="shared" si="41"/>
        <v>7481290</v>
      </c>
    </row>
    <row r="931" spans="1:7" s="32" customFormat="1" ht="31.5">
      <c r="A931" s="30" t="s">
        <v>22</v>
      </c>
      <c r="B931" s="23" t="s">
        <v>630</v>
      </c>
      <c r="C931" s="19" t="s">
        <v>633</v>
      </c>
      <c r="D931" s="23" t="s">
        <v>23</v>
      </c>
      <c r="E931" s="29">
        <f>E932</f>
        <v>117513</v>
      </c>
      <c r="F931" s="29">
        <f>F932</f>
        <v>-47564.34</v>
      </c>
      <c r="G931" s="25">
        <f t="shared" si="41"/>
        <v>69948.66</v>
      </c>
    </row>
    <row r="932" spans="1:7" s="32" customFormat="1" ht="31.5">
      <c r="A932" s="30" t="s">
        <v>24</v>
      </c>
      <c r="B932" s="23" t="s">
        <v>630</v>
      </c>
      <c r="C932" s="19" t="s">
        <v>633</v>
      </c>
      <c r="D932" s="23" t="s">
        <v>25</v>
      </c>
      <c r="E932" s="29">
        <v>117513</v>
      </c>
      <c r="F932" s="29">
        <v>-47564.34</v>
      </c>
      <c r="G932" s="25">
        <f t="shared" si="41"/>
        <v>69948.66</v>
      </c>
    </row>
    <row r="933" spans="1:7" s="32" customFormat="1" ht="15.75">
      <c r="A933" s="26" t="s">
        <v>42</v>
      </c>
      <c r="B933" s="23" t="s">
        <v>630</v>
      </c>
      <c r="C933" s="19" t="s">
        <v>633</v>
      </c>
      <c r="D933" s="19">
        <v>300</v>
      </c>
      <c r="E933" s="24">
        <f>E934</f>
        <v>11633768</v>
      </c>
      <c r="F933" s="24">
        <f>F934</f>
        <v>-4222426.66</v>
      </c>
      <c r="G933" s="25">
        <f t="shared" si="41"/>
        <v>7411341.34</v>
      </c>
    </row>
    <row r="934" spans="1:7" s="32" customFormat="1" ht="15.75">
      <c r="A934" s="26" t="s">
        <v>580</v>
      </c>
      <c r="B934" s="23" t="s">
        <v>630</v>
      </c>
      <c r="C934" s="19" t="s">
        <v>633</v>
      </c>
      <c r="D934" s="19">
        <v>310</v>
      </c>
      <c r="E934" s="29">
        <v>11633768</v>
      </c>
      <c r="F934" s="29">
        <v>-4222426.66</v>
      </c>
      <c r="G934" s="25">
        <f t="shared" si="41"/>
        <v>7411341.34</v>
      </c>
    </row>
    <row r="935" spans="1:7" s="32" customFormat="1" ht="31.5">
      <c r="A935" s="26" t="s">
        <v>212</v>
      </c>
      <c r="B935" s="23" t="s">
        <v>630</v>
      </c>
      <c r="C935" s="19" t="s">
        <v>213</v>
      </c>
      <c r="D935" s="19"/>
      <c r="E935" s="29">
        <f>E936+E971</f>
        <v>243344947</v>
      </c>
      <c r="F935" s="29">
        <f>F936+F971</f>
        <v>183556112.79999998</v>
      </c>
      <c r="G935" s="25">
        <f t="shared" si="41"/>
        <v>426901059.79999995</v>
      </c>
    </row>
    <row r="936" spans="1:7" s="32" customFormat="1" ht="47.25">
      <c r="A936" s="26" t="s">
        <v>576</v>
      </c>
      <c r="B936" s="23" t="s">
        <v>630</v>
      </c>
      <c r="C936" s="19" t="s">
        <v>577</v>
      </c>
      <c r="D936" s="19"/>
      <c r="E936" s="29">
        <f>SUM(E937,E942,E945,E957,E962,E965,E968,E948,E951,E954)</f>
        <v>243344947</v>
      </c>
      <c r="F936" s="29">
        <f>SUM(F937,F942,F945,F957,F962,F965,F968,F948,F951,F954)</f>
        <v>164047507.6</v>
      </c>
      <c r="G936" s="25">
        <f t="shared" si="41"/>
        <v>407392454.6</v>
      </c>
    </row>
    <row r="937" spans="1:7" s="32" customFormat="1" ht="31.5">
      <c r="A937" s="26" t="s">
        <v>634</v>
      </c>
      <c r="B937" s="23" t="s">
        <v>630</v>
      </c>
      <c r="C937" s="19" t="s">
        <v>635</v>
      </c>
      <c r="D937" s="19"/>
      <c r="E937" s="29">
        <f>E940+E938</f>
        <v>27335124</v>
      </c>
      <c r="F937" s="29">
        <f>F940+F938</f>
        <v>-2666562</v>
      </c>
      <c r="G937" s="25">
        <f t="shared" si="41"/>
        <v>24668562</v>
      </c>
    </row>
    <row r="938" spans="1:7" s="32" customFormat="1" ht="31.5">
      <c r="A938" s="30" t="s">
        <v>22</v>
      </c>
      <c r="B938" s="23" t="s">
        <v>630</v>
      </c>
      <c r="C938" s="19" t="s">
        <v>635</v>
      </c>
      <c r="D938" s="19">
        <v>200</v>
      </c>
      <c r="E938" s="29">
        <f>E939</f>
        <v>984065</v>
      </c>
      <c r="F938" s="29">
        <f>F939</f>
        <v>100000</v>
      </c>
      <c r="G938" s="25">
        <f t="shared" si="41"/>
        <v>1084065</v>
      </c>
    </row>
    <row r="939" spans="1:7" s="32" customFormat="1" ht="31.5">
      <c r="A939" s="26" t="s">
        <v>24</v>
      </c>
      <c r="B939" s="23" t="s">
        <v>630</v>
      </c>
      <c r="C939" s="19" t="s">
        <v>635</v>
      </c>
      <c r="D939" s="19">
        <v>240</v>
      </c>
      <c r="E939" s="29">
        <v>984065</v>
      </c>
      <c r="F939" s="29">
        <f>-65000+165000</f>
        <v>100000</v>
      </c>
      <c r="G939" s="25">
        <f t="shared" si="41"/>
        <v>1084065</v>
      </c>
    </row>
    <row r="940" spans="1:7" s="32" customFormat="1" ht="15.75">
      <c r="A940" s="26" t="s">
        <v>42</v>
      </c>
      <c r="B940" s="23" t="s">
        <v>630</v>
      </c>
      <c r="C940" s="19" t="s">
        <v>635</v>
      </c>
      <c r="D940" s="19">
        <v>300</v>
      </c>
      <c r="E940" s="29">
        <f>E941</f>
        <v>26351059</v>
      </c>
      <c r="F940" s="29">
        <f>F941</f>
        <v>-2766562</v>
      </c>
      <c r="G940" s="25">
        <f t="shared" si="41"/>
        <v>23584497</v>
      </c>
    </row>
    <row r="941" spans="1:7" s="32" customFormat="1" ht="15.75">
      <c r="A941" s="26" t="s">
        <v>580</v>
      </c>
      <c r="B941" s="23" t="s">
        <v>630</v>
      </c>
      <c r="C941" s="19" t="s">
        <v>635</v>
      </c>
      <c r="D941" s="19">
        <v>310</v>
      </c>
      <c r="E941" s="29">
        <v>26351059</v>
      </c>
      <c r="F941" s="29">
        <f>-6503088+5544000-1807474</f>
        <v>-2766562</v>
      </c>
      <c r="G941" s="25">
        <f t="shared" si="41"/>
        <v>23584497</v>
      </c>
    </row>
    <row r="942" spans="1:7" s="32" customFormat="1" ht="78.75">
      <c r="A942" s="26" t="s">
        <v>636</v>
      </c>
      <c r="B942" s="23" t="s">
        <v>630</v>
      </c>
      <c r="C942" s="19" t="s">
        <v>637</v>
      </c>
      <c r="D942" s="19"/>
      <c r="E942" s="29">
        <f>E943</f>
        <v>369068</v>
      </c>
      <c r="F942" s="29">
        <f>F943</f>
        <v>-44797</v>
      </c>
      <c r="G942" s="25">
        <f t="shared" si="41"/>
        <v>324271</v>
      </c>
    </row>
    <row r="943" spans="1:7" s="32" customFormat="1" ht="15.75">
      <c r="A943" s="26" t="s">
        <v>42</v>
      </c>
      <c r="B943" s="23" t="s">
        <v>630</v>
      </c>
      <c r="C943" s="19" t="s">
        <v>637</v>
      </c>
      <c r="D943" s="19">
        <v>300</v>
      </c>
      <c r="E943" s="29">
        <f>E944</f>
        <v>369068</v>
      </c>
      <c r="F943" s="29">
        <f>F944</f>
        <v>-44797</v>
      </c>
      <c r="G943" s="25">
        <f t="shared" si="41"/>
        <v>324271</v>
      </c>
    </row>
    <row r="944" spans="1:7" s="32" customFormat="1" ht="15.75">
      <c r="A944" s="26" t="s">
        <v>580</v>
      </c>
      <c r="B944" s="23" t="s">
        <v>630</v>
      </c>
      <c r="C944" s="19" t="s">
        <v>637</v>
      </c>
      <c r="D944" s="19">
        <v>310</v>
      </c>
      <c r="E944" s="29">
        <v>369068</v>
      </c>
      <c r="F944" s="29">
        <v>-44797</v>
      </c>
      <c r="G944" s="25">
        <f t="shared" si="41"/>
        <v>324271</v>
      </c>
    </row>
    <row r="945" spans="1:7" s="32" customFormat="1" ht="94.5">
      <c r="A945" s="26" t="s">
        <v>638</v>
      </c>
      <c r="B945" s="23" t="s">
        <v>630</v>
      </c>
      <c r="C945" s="19" t="s">
        <v>639</v>
      </c>
      <c r="D945" s="19"/>
      <c r="E945" s="29">
        <f>E946</f>
        <v>27523149</v>
      </c>
      <c r="F945" s="29">
        <f>F946</f>
        <v>3778707</v>
      </c>
      <c r="G945" s="25">
        <f t="shared" si="41"/>
        <v>31301856</v>
      </c>
    </row>
    <row r="946" spans="1:7" s="32" customFormat="1" ht="15.75">
      <c r="A946" s="26" t="s">
        <v>42</v>
      </c>
      <c r="B946" s="23" t="s">
        <v>630</v>
      </c>
      <c r="C946" s="19" t="s">
        <v>639</v>
      </c>
      <c r="D946" s="19">
        <v>300</v>
      </c>
      <c r="E946" s="29">
        <f>E947</f>
        <v>27523149</v>
      </c>
      <c r="F946" s="29">
        <f>F947</f>
        <v>3778707</v>
      </c>
      <c r="G946" s="25">
        <f t="shared" si="41"/>
        <v>31301856</v>
      </c>
    </row>
    <row r="947" spans="1:7" s="32" customFormat="1" ht="15.75">
      <c r="A947" s="26" t="s">
        <v>580</v>
      </c>
      <c r="B947" s="23" t="s">
        <v>630</v>
      </c>
      <c r="C947" s="19" t="s">
        <v>639</v>
      </c>
      <c r="D947" s="19">
        <v>310</v>
      </c>
      <c r="E947" s="29">
        <v>27523149</v>
      </c>
      <c r="F947" s="29">
        <f>2400000+1378707</f>
        <v>3778707</v>
      </c>
      <c r="G947" s="25">
        <f t="shared" si="41"/>
        <v>31301856</v>
      </c>
    </row>
    <row r="948" spans="1:7" s="32" customFormat="1" ht="110.25">
      <c r="A948" s="26" t="s">
        <v>640</v>
      </c>
      <c r="B948" s="23" t="s">
        <v>630</v>
      </c>
      <c r="C948" s="19" t="s">
        <v>641</v>
      </c>
      <c r="D948" s="19"/>
      <c r="E948" s="29">
        <f>E949</f>
        <v>0</v>
      </c>
      <c r="F948" s="29">
        <f>F949</f>
        <v>4628384</v>
      </c>
      <c r="G948" s="25">
        <f t="shared" si="41"/>
        <v>4628384</v>
      </c>
    </row>
    <row r="949" spans="1:7" s="32" customFormat="1" ht="15.75">
      <c r="A949" s="26" t="s">
        <v>42</v>
      </c>
      <c r="B949" s="23" t="s">
        <v>630</v>
      </c>
      <c r="C949" s="19" t="s">
        <v>641</v>
      </c>
      <c r="D949" s="19">
        <v>300</v>
      </c>
      <c r="E949" s="29">
        <f>E950</f>
        <v>0</v>
      </c>
      <c r="F949" s="29">
        <f>F950</f>
        <v>4628384</v>
      </c>
      <c r="G949" s="25">
        <f t="shared" si="41"/>
        <v>4628384</v>
      </c>
    </row>
    <row r="950" spans="1:7" s="32" customFormat="1" ht="15.75">
      <c r="A950" s="26" t="s">
        <v>580</v>
      </c>
      <c r="B950" s="23" t="s">
        <v>630</v>
      </c>
      <c r="C950" s="19" t="s">
        <v>641</v>
      </c>
      <c r="D950" s="19">
        <v>310</v>
      </c>
      <c r="E950" s="29"/>
      <c r="F950" s="29">
        <f>4285680-457296+800000</f>
        <v>4628384</v>
      </c>
      <c r="G950" s="25">
        <f t="shared" si="41"/>
        <v>4628384</v>
      </c>
    </row>
    <row r="951" spans="1:7" s="32" customFormat="1" ht="31.5">
      <c r="A951" s="26" t="s">
        <v>642</v>
      </c>
      <c r="B951" s="23" t="s">
        <v>630</v>
      </c>
      <c r="C951" s="19" t="s">
        <v>643</v>
      </c>
      <c r="D951" s="19"/>
      <c r="E951" s="29">
        <f>E952</f>
        <v>0</v>
      </c>
      <c r="F951" s="29">
        <f>F952</f>
        <v>83000000</v>
      </c>
      <c r="G951" s="25">
        <f t="shared" si="41"/>
        <v>83000000</v>
      </c>
    </row>
    <row r="952" spans="1:7" s="32" customFormat="1" ht="15.75">
      <c r="A952" s="26" t="s">
        <v>42</v>
      </c>
      <c r="B952" s="23" t="s">
        <v>630</v>
      </c>
      <c r="C952" s="19" t="s">
        <v>643</v>
      </c>
      <c r="D952" s="19">
        <v>300</v>
      </c>
      <c r="E952" s="29">
        <f>E953</f>
        <v>0</v>
      </c>
      <c r="F952" s="29">
        <f>F953</f>
        <v>83000000</v>
      </c>
      <c r="G952" s="25">
        <f t="shared" si="41"/>
        <v>83000000</v>
      </c>
    </row>
    <row r="953" spans="1:7" s="32" customFormat="1" ht="15.75">
      <c r="A953" s="26" t="s">
        <v>580</v>
      </c>
      <c r="B953" s="23" t="s">
        <v>630</v>
      </c>
      <c r="C953" s="19" t="s">
        <v>643</v>
      </c>
      <c r="D953" s="19">
        <v>310</v>
      </c>
      <c r="E953" s="29">
        <v>0</v>
      </c>
      <c r="F953" s="29">
        <f>79341480+3658520</f>
        <v>83000000</v>
      </c>
      <c r="G953" s="25">
        <f t="shared" si="41"/>
        <v>83000000</v>
      </c>
    </row>
    <row r="954" spans="1:7" s="32" customFormat="1" ht="47.25">
      <c r="A954" s="26" t="s">
        <v>644</v>
      </c>
      <c r="B954" s="23" t="s">
        <v>630</v>
      </c>
      <c r="C954" s="19" t="s">
        <v>645</v>
      </c>
      <c r="D954" s="19"/>
      <c r="E954" s="29">
        <f>E955</f>
        <v>0</v>
      </c>
      <c r="F954" s="29">
        <f>F955</f>
        <v>68220666</v>
      </c>
      <c r="G954" s="25">
        <f t="shared" si="41"/>
        <v>68220666</v>
      </c>
    </row>
    <row r="955" spans="1:7" s="32" customFormat="1" ht="15.75">
      <c r="A955" s="26" t="s">
        <v>42</v>
      </c>
      <c r="B955" s="23" t="s">
        <v>630</v>
      </c>
      <c r="C955" s="19" t="s">
        <v>645</v>
      </c>
      <c r="D955" s="19">
        <v>300</v>
      </c>
      <c r="E955" s="29">
        <f>E956</f>
        <v>0</v>
      </c>
      <c r="F955" s="29">
        <f>F956</f>
        <v>68220666</v>
      </c>
      <c r="G955" s="25">
        <f t="shared" si="41"/>
        <v>68220666</v>
      </c>
    </row>
    <row r="956" spans="1:7" s="32" customFormat="1" ht="15.75">
      <c r="A956" s="26" t="s">
        <v>580</v>
      </c>
      <c r="B956" s="23" t="s">
        <v>630</v>
      </c>
      <c r="C956" s="19" t="s">
        <v>645</v>
      </c>
      <c r="D956" s="19">
        <v>310</v>
      </c>
      <c r="E956" s="29">
        <v>0</v>
      </c>
      <c r="F956" s="29">
        <f>20301785+4698215+2899586+40321080</f>
        <v>68220666</v>
      </c>
      <c r="G956" s="25">
        <f t="shared" si="41"/>
        <v>68220666</v>
      </c>
    </row>
    <row r="957" spans="1:7" s="32" customFormat="1" ht="63">
      <c r="A957" s="26" t="s">
        <v>646</v>
      </c>
      <c r="B957" s="23" t="s">
        <v>630</v>
      </c>
      <c r="C957" s="19" t="s">
        <v>647</v>
      </c>
      <c r="D957" s="19"/>
      <c r="E957" s="29">
        <f>E958+E960</f>
        <v>41815202</v>
      </c>
      <c r="F957" s="29">
        <f>F958+F960</f>
        <v>10568088</v>
      </c>
      <c r="G957" s="25">
        <f t="shared" si="41"/>
        <v>52383290</v>
      </c>
    </row>
    <row r="958" spans="1:7" s="32" customFormat="1" ht="31.5">
      <c r="A958" s="30" t="s">
        <v>22</v>
      </c>
      <c r="B958" s="23" t="s">
        <v>630</v>
      </c>
      <c r="C958" s="19" t="s">
        <v>647</v>
      </c>
      <c r="D958" s="19">
        <v>200</v>
      </c>
      <c r="E958" s="29">
        <f>E959</f>
        <v>292707</v>
      </c>
      <c r="F958" s="29">
        <f>F959</f>
        <v>140000</v>
      </c>
      <c r="G958" s="25">
        <f t="shared" si="41"/>
        <v>432707</v>
      </c>
    </row>
    <row r="959" spans="1:7" s="32" customFormat="1" ht="31.5">
      <c r="A959" s="26" t="s">
        <v>24</v>
      </c>
      <c r="B959" s="23" t="s">
        <v>630</v>
      </c>
      <c r="C959" s="19" t="s">
        <v>647</v>
      </c>
      <c r="D959" s="19">
        <v>240</v>
      </c>
      <c r="E959" s="29">
        <v>292707</v>
      </c>
      <c r="F959" s="29">
        <f>65000+75000</f>
        <v>140000</v>
      </c>
      <c r="G959" s="25">
        <f t="shared" si="41"/>
        <v>432707</v>
      </c>
    </row>
    <row r="960" spans="1:7" s="32" customFormat="1" ht="15.75">
      <c r="A960" s="26" t="s">
        <v>42</v>
      </c>
      <c r="B960" s="23" t="s">
        <v>630</v>
      </c>
      <c r="C960" s="19" t="s">
        <v>647</v>
      </c>
      <c r="D960" s="19">
        <v>300</v>
      </c>
      <c r="E960" s="29">
        <f>E961</f>
        <v>41522495</v>
      </c>
      <c r="F960" s="29">
        <f>F961</f>
        <v>10428088</v>
      </c>
      <c r="G960" s="25">
        <f t="shared" si="41"/>
        <v>51950583</v>
      </c>
    </row>
    <row r="961" spans="1:7" s="32" customFormat="1" ht="15.75">
      <c r="A961" s="26" t="s">
        <v>580</v>
      </c>
      <c r="B961" s="23" t="s">
        <v>630</v>
      </c>
      <c r="C961" s="19" t="s">
        <v>647</v>
      </c>
      <c r="D961" s="19">
        <v>310</v>
      </c>
      <c r="E961" s="29">
        <v>41522495</v>
      </c>
      <c r="F961" s="29">
        <f>6503088+3925000</f>
        <v>10428088</v>
      </c>
      <c r="G961" s="25">
        <f t="shared" si="41"/>
        <v>51950583</v>
      </c>
    </row>
    <row r="962" spans="1:7" s="32" customFormat="1" ht="94.5">
      <c r="A962" s="26" t="s">
        <v>648</v>
      </c>
      <c r="B962" s="23" t="s">
        <v>630</v>
      </c>
      <c r="C962" s="19" t="s">
        <v>649</v>
      </c>
      <c r="D962" s="19"/>
      <c r="E962" s="29">
        <f>E963</f>
        <v>61925074</v>
      </c>
      <c r="F962" s="29">
        <f>F963</f>
        <v>22842405.6</v>
      </c>
      <c r="G962" s="25">
        <f t="shared" si="41"/>
        <v>84767479.6</v>
      </c>
    </row>
    <row r="963" spans="1:7" s="32" customFormat="1" ht="15.75">
      <c r="A963" s="26" t="s">
        <v>42</v>
      </c>
      <c r="B963" s="23" t="s">
        <v>630</v>
      </c>
      <c r="C963" s="19" t="s">
        <v>649</v>
      </c>
      <c r="D963" s="19">
        <v>300</v>
      </c>
      <c r="E963" s="29">
        <f>E964</f>
        <v>61925074</v>
      </c>
      <c r="F963" s="29">
        <f>F964</f>
        <v>22842405.6</v>
      </c>
      <c r="G963" s="25">
        <f t="shared" si="41"/>
        <v>84767479.6</v>
      </c>
    </row>
    <row r="964" spans="1:7" s="32" customFormat="1" ht="15.75">
      <c r="A964" s="26" t="s">
        <v>580</v>
      </c>
      <c r="B964" s="23" t="s">
        <v>630</v>
      </c>
      <c r="C964" s="19" t="s">
        <v>649</v>
      </c>
      <c r="D964" s="19">
        <v>310</v>
      </c>
      <c r="E964" s="29">
        <v>61925074</v>
      </c>
      <c r="F964" s="29">
        <f>18500000+1385166+2957239.6</f>
        <v>22842405.6</v>
      </c>
      <c r="G964" s="25">
        <f t="shared" si="41"/>
        <v>84767479.6</v>
      </c>
    </row>
    <row r="965" spans="1:7" s="32" customFormat="1" ht="63">
      <c r="A965" s="26" t="s">
        <v>650</v>
      </c>
      <c r="B965" s="23" t="s">
        <v>630</v>
      </c>
      <c r="C965" s="19" t="s">
        <v>651</v>
      </c>
      <c r="D965" s="19"/>
      <c r="E965" s="29">
        <f>E966</f>
        <v>84377330</v>
      </c>
      <c r="F965" s="29">
        <f>F966</f>
        <v>-27335000</v>
      </c>
      <c r="G965" s="25">
        <f t="shared" si="41"/>
        <v>57042330</v>
      </c>
    </row>
    <row r="966" spans="1:7" s="32" customFormat="1" ht="15.75">
      <c r="A966" s="26" t="s">
        <v>42</v>
      </c>
      <c r="B966" s="23" t="s">
        <v>630</v>
      </c>
      <c r="C966" s="19" t="s">
        <v>651</v>
      </c>
      <c r="D966" s="19">
        <v>300</v>
      </c>
      <c r="E966" s="29">
        <f>E967</f>
        <v>84377330</v>
      </c>
      <c r="F966" s="29">
        <f>F967</f>
        <v>-27335000</v>
      </c>
      <c r="G966" s="25">
        <f t="shared" si="41"/>
        <v>57042330</v>
      </c>
    </row>
    <row r="967" spans="1:7" s="32" customFormat="1" ht="15.75">
      <c r="A967" s="26" t="s">
        <v>580</v>
      </c>
      <c r="B967" s="23" t="s">
        <v>630</v>
      </c>
      <c r="C967" s="19" t="s">
        <v>651</v>
      </c>
      <c r="D967" s="19">
        <v>310</v>
      </c>
      <c r="E967" s="29">
        <v>84377330</v>
      </c>
      <c r="F967" s="29">
        <f>-29600000+2265000</f>
        <v>-27335000</v>
      </c>
      <c r="G967" s="25">
        <f t="shared" si="41"/>
        <v>57042330</v>
      </c>
    </row>
    <row r="968" spans="1:7" s="32" customFormat="1" ht="94.5">
      <c r="A968" s="26" t="s">
        <v>652</v>
      </c>
      <c r="B968" s="23" t="s">
        <v>630</v>
      </c>
      <c r="C968" s="19" t="s">
        <v>653</v>
      </c>
      <c r="D968" s="19"/>
      <c r="E968" s="29">
        <f>E969</f>
        <v>0</v>
      </c>
      <c r="F968" s="29">
        <f>F969</f>
        <v>1055616</v>
      </c>
      <c r="G968" s="25">
        <f t="shared" si="41"/>
        <v>1055616</v>
      </c>
    </row>
    <row r="969" spans="1:7" s="32" customFormat="1" ht="15.75">
      <c r="A969" s="26" t="s">
        <v>42</v>
      </c>
      <c r="B969" s="23" t="s">
        <v>630</v>
      </c>
      <c r="C969" s="19" t="s">
        <v>653</v>
      </c>
      <c r="D969" s="19">
        <v>300</v>
      </c>
      <c r="E969" s="29">
        <f>E970</f>
        <v>0</v>
      </c>
      <c r="F969" s="29">
        <f>F970</f>
        <v>1055616</v>
      </c>
      <c r="G969" s="25">
        <f t="shared" si="41"/>
        <v>1055616</v>
      </c>
    </row>
    <row r="970" spans="1:7" s="32" customFormat="1" ht="15.75">
      <c r="A970" s="26" t="s">
        <v>580</v>
      </c>
      <c r="B970" s="23" t="s">
        <v>630</v>
      </c>
      <c r="C970" s="19" t="s">
        <v>653</v>
      </c>
      <c r="D970" s="19">
        <v>310</v>
      </c>
      <c r="E970" s="29">
        <v>0</v>
      </c>
      <c r="F970" s="29">
        <f>4618320-3562704</f>
        <v>1055616</v>
      </c>
      <c r="G970" s="25">
        <f t="shared" si="41"/>
        <v>1055616</v>
      </c>
    </row>
    <row r="971" spans="1:7" s="32" customFormat="1" ht="15.75">
      <c r="A971" s="26" t="s">
        <v>625</v>
      </c>
      <c r="B971" s="23" t="s">
        <v>630</v>
      </c>
      <c r="C971" s="19" t="s">
        <v>626</v>
      </c>
      <c r="D971" s="19"/>
      <c r="E971" s="29">
        <f aca="true" t="shared" si="42" ref="E971:F973">E972</f>
        <v>0</v>
      </c>
      <c r="F971" s="29">
        <f t="shared" si="42"/>
        <v>19508605.2</v>
      </c>
      <c r="G971" s="25">
        <f t="shared" si="41"/>
        <v>19508605.2</v>
      </c>
    </row>
    <row r="972" spans="1:7" s="32" customFormat="1" ht="31.5">
      <c r="A972" s="26" t="s">
        <v>627</v>
      </c>
      <c r="B972" s="23" t="s">
        <v>630</v>
      </c>
      <c r="C972" s="19" t="s">
        <v>628</v>
      </c>
      <c r="D972" s="19"/>
      <c r="E972" s="29">
        <f t="shared" si="42"/>
        <v>0</v>
      </c>
      <c r="F972" s="29">
        <f t="shared" si="42"/>
        <v>19508605.2</v>
      </c>
      <c r="G972" s="25">
        <f t="shared" si="41"/>
        <v>19508605.2</v>
      </c>
    </row>
    <row r="973" spans="1:7" s="32" customFormat="1" ht="15.75">
      <c r="A973" s="26" t="s">
        <v>42</v>
      </c>
      <c r="B973" s="23" t="s">
        <v>630</v>
      </c>
      <c r="C973" s="19" t="s">
        <v>628</v>
      </c>
      <c r="D973" s="19">
        <v>300</v>
      </c>
      <c r="E973" s="29">
        <f t="shared" si="42"/>
        <v>0</v>
      </c>
      <c r="F973" s="29">
        <f t="shared" si="42"/>
        <v>19508605.2</v>
      </c>
      <c r="G973" s="25">
        <f t="shared" si="41"/>
        <v>19508605.2</v>
      </c>
    </row>
    <row r="974" spans="1:7" s="32" customFormat="1" ht="31.5">
      <c r="A974" s="26" t="s">
        <v>44</v>
      </c>
      <c r="B974" s="23" t="s">
        <v>630</v>
      </c>
      <c r="C974" s="19" t="s">
        <v>628</v>
      </c>
      <c r="D974" s="19">
        <v>320</v>
      </c>
      <c r="E974" s="29">
        <v>0</v>
      </c>
      <c r="F974" s="29">
        <f>17872294.88+1636310.32</f>
        <v>19508605.2</v>
      </c>
      <c r="G974" s="25">
        <f t="shared" si="41"/>
        <v>19508605.2</v>
      </c>
    </row>
    <row r="975" spans="1:7" s="32" customFormat="1" ht="15.75">
      <c r="A975" s="17" t="s">
        <v>654</v>
      </c>
      <c r="B975" s="18" t="s">
        <v>655</v>
      </c>
      <c r="C975" s="34"/>
      <c r="D975" s="34"/>
      <c r="E975" s="20">
        <f>E976+E989+E1007</f>
        <v>38554307</v>
      </c>
      <c r="F975" s="20">
        <f>F976+F989+F1007</f>
        <v>3387425.96</v>
      </c>
      <c r="G975" s="21">
        <f t="shared" si="41"/>
        <v>41941732.96</v>
      </c>
    </row>
    <row r="976" spans="1:7" s="32" customFormat="1" ht="31.5">
      <c r="A976" s="26" t="s">
        <v>401</v>
      </c>
      <c r="B976" s="23" t="s">
        <v>655</v>
      </c>
      <c r="C976" s="19" t="s">
        <v>402</v>
      </c>
      <c r="D976" s="19"/>
      <c r="E976" s="24">
        <f>SUM(E977,E983)</f>
        <v>6400000</v>
      </c>
      <c r="F976" s="24">
        <f>SUM(F977,F983)</f>
        <v>0</v>
      </c>
      <c r="G976" s="25">
        <f t="shared" si="41"/>
        <v>6400000</v>
      </c>
    </row>
    <row r="977" spans="1:7" s="32" customFormat="1" ht="31.5">
      <c r="A977" s="46" t="s">
        <v>403</v>
      </c>
      <c r="B977" s="23" t="s">
        <v>655</v>
      </c>
      <c r="C977" s="19" t="s">
        <v>404</v>
      </c>
      <c r="D977" s="19"/>
      <c r="E977" s="24">
        <f>E978</f>
        <v>2000000</v>
      </c>
      <c r="F977" s="24">
        <f>F978</f>
        <v>0</v>
      </c>
      <c r="G977" s="25">
        <f t="shared" si="41"/>
        <v>2000000</v>
      </c>
    </row>
    <row r="978" spans="1:7" s="32" customFormat="1" ht="31.5">
      <c r="A978" s="46" t="s">
        <v>656</v>
      </c>
      <c r="B978" s="23" t="s">
        <v>655</v>
      </c>
      <c r="C978" s="19" t="s">
        <v>657</v>
      </c>
      <c r="D978" s="19"/>
      <c r="E978" s="24">
        <f>E981+E979</f>
        <v>2000000</v>
      </c>
      <c r="F978" s="24">
        <f>F981+F979</f>
        <v>0</v>
      </c>
      <c r="G978" s="25">
        <f t="shared" si="41"/>
        <v>2000000</v>
      </c>
    </row>
    <row r="979" spans="1:7" s="32" customFormat="1" ht="31.5">
      <c r="A979" s="30" t="s">
        <v>22</v>
      </c>
      <c r="B979" s="23" t="s">
        <v>655</v>
      </c>
      <c r="C979" s="19" t="s">
        <v>657</v>
      </c>
      <c r="D979" s="19">
        <v>200</v>
      </c>
      <c r="E979" s="24">
        <f>E980</f>
        <v>20000</v>
      </c>
      <c r="F979" s="24">
        <f>F980</f>
        <v>0</v>
      </c>
      <c r="G979" s="25">
        <f t="shared" si="41"/>
        <v>20000</v>
      </c>
    </row>
    <row r="980" spans="1:7" s="32" customFormat="1" ht="31.5">
      <c r="A980" s="30" t="s">
        <v>24</v>
      </c>
      <c r="B980" s="23" t="s">
        <v>655</v>
      </c>
      <c r="C980" s="19" t="s">
        <v>657</v>
      </c>
      <c r="D980" s="19">
        <v>240</v>
      </c>
      <c r="E980" s="24">
        <v>20000</v>
      </c>
      <c r="F980" s="29">
        <v>0</v>
      </c>
      <c r="G980" s="25">
        <f t="shared" si="41"/>
        <v>20000</v>
      </c>
    </row>
    <row r="981" spans="1:7" s="32" customFormat="1" ht="15.75">
      <c r="A981" s="26" t="s">
        <v>42</v>
      </c>
      <c r="B981" s="23" t="s">
        <v>655</v>
      </c>
      <c r="C981" s="19" t="s">
        <v>657</v>
      </c>
      <c r="D981" s="19">
        <v>300</v>
      </c>
      <c r="E981" s="24">
        <f>E982</f>
        <v>1980000</v>
      </c>
      <c r="F981" s="24">
        <f>F982</f>
        <v>0</v>
      </c>
      <c r="G981" s="25">
        <f t="shared" si="41"/>
        <v>1980000</v>
      </c>
    </row>
    <row r="982" spans="1:7" s="32" customFormat="1" ht="15.75">
      <c r="A982" s="26" t="s">
        <v>580</v>
      </c>
      <c r="B982" s="23" t="s">
        <v>655</v>
      </c>
      <c r="C982" s="19" t="s">
        <v>657</v>
      </c>
      <c r="D982" s="19">
        <v>310</v>
      </c>
      <c r="E982" s="24">
        <v>1980000</v>
      </c>
      <c r="F982" s="29">
        <v>0</v>
      </c>
      <c r="G982" s="25">
        <f t="shared" si="41"/>
        <v>1980000</v>
      </c>
    </row>
    <row r="983" spans="1:7" s="32" customFormat="1" ht="31.5">
      <c r="A983" s="46" t="s">
        <v>427</v>
      </c>
      <c r="B983" s="23" t="s">
        <v>655</v>
      </c>
      <c r="C983" s="19" t="s">
        <v>428</v>
      </c>
      <c r="D983" s="19"/>
      <c r="E983" s="24">
        <f>E984</f>
        <v>4400000</v>
      </c>
      <c r="F983" s="24">
        <f>F984</f>
        <v>0</v>
      </c>
      <c r="G983" s="25">
        <f t="shared" si="41"/>
        <v>4400000</v>
      </c>
    </row>
    <row r="984" spans="1:7" s="32" customFormat="1" ht="31.5">
      <c r="A984" s="46" t="s">
        <v>658</v>
      </c>
      <c r="B984" s="23" t="s">
        <v>655</v>
      </c>
      <c r="C984" s="19" t="s">
        <v>659</v>
      </c>
      <c r="D984" s="19"/>
      <c r="E984" s="24">
        <f>E987+E985</f>
        <v>4400000</v>
      </c>
      <c r="F984" s="24">
        <f>F987+F985</f>
        <v>0</v>
      </c>
      <c r="G984" s="25">
        <f t="shared" si="41"/>
        <v>4400000</v>
      </c>
    </row>
    <row r="985" spans="1:7" s="32" customFormat="1" ht="31.5">
      <c r="A985" s="30" t="s">
        <v>22</v>
      </c>
      <c r="B985" s="23" t="s">
        <v>655</v>
      </c>
      <c r="C985" s="19" t="s">
        <v>659</v>
      </c>
      <c r="D985" s="19">
        <v>200</v>
      </c>
      <c r="E985" s="24">
        <f>E986</f>
        <v>40000</v>
      </c>
      <c r="F985" s="24">
        <f>F986</f>
        <v>0</v>
      </c>
      <c r="G985" s="25">
        <f t="shared" si="41"/>
        <v>40000</v>
      </c>
    </row>
    <row r="986" spans="1:7" s="32" customFormat="1" ht="31.5">
      <c r="A986" s="30" t="s">
        <v>24</v>
      </c>
      <c r="B986" s="23" t="s">
        <v>655</v>
      </c>
      <c r="C986" s="19" t="s">
        <v>659</v>
      </c>
      <c r="D986" s="19">
        <v>240</v>
      </c>
      <c r="E986" s="24">
        <v>40000</v>
      </c>
      <c r="F986" s="29">
        <v>0</v>
      </c>
      <c r="G986" s="25">
        <f t="shared" si="41"/>
        <v>40000</v>
      </c>
    </row>
    <row r="987" spans="1:7" s="32" customFormat="1" ht="15.75">
      <c r="A987" s="26" t="s">
        <v>42</v>
      </c>
      <c r="B987" s="23" t="s">
        <v>655</v>
      </c>
      <c r="C987" s="19" t="s">
        <v>659</v>
      </c>
      <c r="D987" s="19">
        <v>300</v>
      </c>
      <c r="E987" s="24">
        <f>E988</f>
        <v>4360000</v>
      </c>
      <c r="F987" s="24">
        <f>F988</f>
        <v>0</v>
      </c>
      <c r="G987" s="25">
        <f t="shared" si="41"/>
        <v>4360000</v>
      </c>
    </row>
    <row r="988" spans="1:7" s="32" customFormat="1" ht="15.75">
      <c r="A988" s="26" t="s">
        <v>580</v>
      </c>
      <c r="B988" s="23" t="s">
        <v>655</v>
      </c>
      <c r="C988" s="19" t="s">
        <v>659</v>
      </c>
      <c r="D988" s="19">
        <v>310</v>
      </c>
      <c r="E988" s="24">
        <v>4360000</v>
      </c>
      <c r="F988" s="29">
        <v>0</v>
      </c>
      <c r="G988" s="25">
        <f t="shared" si="41"/>
        <v>4360000</v>
      </c>
    </row>
    <row r="989" spans="1:7" s="32" customFormat="1" ht="31.5">
      <c r="A989" s="26" t="s">
        <v>212</v>
      </c>
      <c r="B989" s="23" t="s">
        <v>655</v>
      </c>
      <c r="C989" s="19" t="s">
        <v>213</v>
      </c>
      <c r="D989" s="19"/>
      <c r="E989" s="24">
        <f>E990+E994</f>
        <v>32154307</v>
      </c>
      <c r="F989" s="24">
        <f>F990+F994</f>
        <v>2449425.96</v>
      </c>
      <c r="G989" s="25">
        <f t="shared" si="41"/>
        <v>34603732.96</v>
      </c>
    </row>
    <row r="990" spans="1:7" s="32" customFormat="1" ht="47.25">
      <c r="A990" s="26" t="s">
        <v>576</v>
      </c>
      <c r="B990" s="23" t="s">
        <v>655</v>
      </c>
      <c r="C990" s="19" t="s">
        <v>577</v>
      </c>
      <c r="D990" s="19"/>
      <c r="E990" s="24">
        <f aca="true" t="shared" si="43" ref="E990:F992">E991</f>
        <v>1000000</v>
      </c>
      <c r="F990" s="24">
        <f t="shared" si="43"/>
        <v>0</v>
      </c>
      <c r="G990" s="25">
        <f t="shared" si="41"/>
        <v>1000000</v>
      </c>
    </row>
    <row r="991" spans="1:7" s="32" customFormat="1" ht="31.5">
      <c r="A991" s="26" t="s">
        <v>660</v>
      </c>
      <c r="B991" s="23" t="s">
        <v>655</v>
      </c>
      <c r="C991" s="19" t="s">
        <v>661</v>
      </c>
      <c r="D991" s="19"/>
      <c r="E991" s="24">
        <f t="shared" si="43"/>
        <v>1000000</v>
      </c>
      <c r="F991" s="24">
        <f t="shared" si="43"/>
        <v>0</v>
      </c>
      <c r="G991" s="25">
        <f aca="true" t="shared" si="44" ref="G991:G1054">SUM(E991:F991)</f>
        <v>1000000</v>
      </c>
    </row>
    <row r="992" spans="1:7" s="32" customFormat="1" ht="31.5">
      <c r="A992" s="30" t="s">
        <v>22</v>
      </c>
      <c r="B992" s="23" t="s">
        <v>655</v>
      </c>
      <c r="C992" s="19" t="s">
        <v>661</v>
      </c>
      <c r="D992" s="19">
        <v>200</v>
      </c>
      <c r="E992" s="24">
        <f t="shared" si="43"/>
        <v>1000000</v>
      </c>
      <c r="F992" s="24">
        <f t="shared" si="43"/>
        <v>0</v>
      </c>
      <c r="G992" s="25">
        <f t="shared" si="44"/>
        <v>1000000</v>
      </c>
    </row>
    <row r="993" spans="1:7" s="32" customFormat="1" ht="31.5">
      <c r="A993" s="30" t="s">
        <v>24</v>
      </c>
      <c r="B993" s="23" t="s">
        <v>655</v>
      </c>
      <c r="C993" s="19" t="s">
        <v>661</v>
      </c>
      <c r="D993" s="19">
        <v>240</v>
      </c>
      <c r="E993" s="29">
        <v>1000000</v>
      </c>
      <c r="F993" s="29">
        <v>0</v>
      </c>
      <c r="G993" s="25">
        <f t="shared" si="44"/>
        <v>1000000</v>
      </c>
    </row>
    <row r="994" spans="1:7" s="32" customFormat="1" ht="47.25">
      <c r="A994" s="26" t="s">
        <v>662</v>
      </c>
      <c r="B994" s="23" t="s">
        <v>655</v>
      </c>
      <c r="C994" s="19" t="s">
        <v>663</v>
      </c>
      <c r="D994" s="19"/>
      <c r="E994" s="29">
        <f>SUM(E995,E1002)</f>
        <v>31154307</v>
      </c>
      <c r="F994" s="29">
        <f>SUM(F995,F1002)</f>
        <v>2449425.96</v>
      </c>
      <c r="G994" s="25">
        <f t="shared" si="44"/>
        <v>33603732.96</v>
      </c>
    </row>
    <row r="995" spans="1:7" s="32" customFormat="1" ht="31.5">
      <c r="A995" s="26" t="s">
        <v>664</v>
      </c>
      <c r="B995" s="23" t="s">
        <v>655</v>
      </c>
      <c r="C995" s="19" t="s">
        <v>665</v>
      </c>
      <c r="D995" s="19"/>
      <c r="E995" s="29">
        <f>E996+E998+E1000</f>
        <v>19382807</v>
      </c>
      <c r="F995" s="29">
        <f>F996+F998+F1000</f>
        <v>1020147</v>
      </c>
      <c r="G995" s="25">
        <f t="shared" si="44"/>
        <v>20402954</v>
      </c>
    </row>
    <row r="996" spans="1:7" s="32" customFormat="1" ht="78.75">
      <c r="A996" s="28" t="s">
        <v>18</v>
      </c>
      <c r="B996" s="23" t="s">
        <v>655</v>
      </c>
      <c r="C996" s="19" t="s">
        <v>665</v>
      </c>
      <c r="D996" s="23" t="s">
        <v>19</v>
      </c>
      <c r="E996" s="29">
        <f>E997</f>
        <v>18147807</v>
      </c>
      <c r="F996" s="29">
        <f>F997</f>
        <v>520147</v>
      </c>
      <c r="G996" s="25">
        <f t="shared" si="44"/>
        <v>18667954</v>
      </c>
    </row>
    <row r="997" spans="1:7" s="32" customFormat="1" ht="31.5">
      <c r="A997" s="28" t="s">
        <v>20</v>
      </c>
      <c r="B997" s="23" t="s">
        <v>655</v>
      </c>
      <c r="C997" s="19" t="s">
        <v>665</v>
      </c>
      <c r="D997" s="23" t="s">
        <v>21</v>
      </c>
      <c r="E997" s="29">
        <v>18147807</v>
      </c>
      <c r="F997" s="29">
        <v>520147</v>
      </c>
      <c r="G997" s="25">
        <f t="shared" si="44"/>
        <v>18667954</v>
      </c>
    </row>
    <row r="998" spans="1:7" s="32" customFormat="1" ht="31.5">
      <c r="A998" s="30" t="s">
        <v>22</v>
      </c>
      <c r="B998" s="23" t="s">
        <v>655</v>
      </c>
      <c r="C998" s="19" t="s">
        <v>665</v>
      </c>
      <c r="D998" s="23" t="s">
        <v>23</v>
      </c>
      <c r="E998" s="29">
        <f>E999</f>
        <v>1200000</v>
      </c>
      <c r="F998" s="29">
        <f>F999</f>
        <v>527954</v>
      </c>
      <c r="G998" s="25">
        <f t="shared" si="44"/>
        <v>1727954</v>
      </c>
    </row>
    <row r="999" spans="1:7" s="32" customFormat="1" ht="31.5">
      <c r="A999" s="30" t="s">
        <v>24</v>
      </c>
      <c r="B999" s="23" t="s">
        <v>655</v>
      </c>
      <c r="C999" s="19" t="s">
        <v>665</v>
      </c>
      <c r="D999" s="23" t="s">
        <v>25</v>
      </c>
      <c r="E999" s="29">
        <v>1200000</v>
      </c>
      <c r="F999" s="29">
        <f>500000+27954</f>
        <v>527954</v>
      </c>
      <c r="G999" s="25">
        <f t="shared" si="44"/>
        <v>1727954</v>
      </c>
    </row>
    <row r="1000" spans="1:7" s="32" customFormat="1" ht="15.75">
      <c r="A1000" s="30" t="s">
        <v>26</v>
      </c>
      <c r="B1000" s="23" t="s">
        <v>655</v>
      </c>
      <c r="C1000" s="19" t="s">
        <v>665</v>
      </c>
      <c r="D1000" s="23" t="s">
        <v>27</v>
      </c>
      <c r="E1000" s="29">
        <f>E1001</f>
        <v>35000</v>
      </c>
      <c r="F1000" s="29">
        <f>F1001</f>
        <v>-27954</v>
      </c>
      <c r="G1000" s="25">
        <f t="shared" si="44"/>
        <v>7046</v>
      </c>
    </row>
    <row r="1001" spans="1:7" s="32" customFormat="1" ht="15.75">
      <c r="A1001" s="30" t="s">
        <v>28</v>
      </c>
      <c r="B1001" s="23" t="s">
        <v>655</v>
      </c>
      <c r="C1001" s="19" t="s">
        <v>665</v>
      </c>
      <c r="D1001" s="23" t="s">
        <v>29</v>
      </c>
      <c r="E1001" s="29">
        <v>35000</v>
      </c>
      <c r="F1001" s="29">
        <v>-27954</v>
      </c>
      <c r="G1001" s="25">
        <f t="shared" si="44"/>
        <v>7046</v>
      </c>
    </row>
    <row r="1002" spans="1:7" s="32" customFormat="1" ht="47.25">
      <c r="A1002" s="26" t="s">
        <v>666</v>
      </c>
      <c r="B1002" s="23" t="s">
        <v>655</v>
      </c>
      <c r="C1002" s="19" t="s">
        <v>667</v>
      </c>
      <c r="D1002" s="19"/>
      <c r="E1002" s="29">
        <f>E1003+E1005</f>
        <v>11771500</v>
      </c>
      <c r="F1002" s="29">
        <f>F1003+F1005</f>
        <v>1429278.96</v>
      </c>
      <c r="G1002" s="25">
        <f t="shared" si="44"/>
        <v>13200778.96</v>
      </c>
    </row>
    <row r="1003" spans="1:7" s="32" customFormat="1" ht="78.75">
      <c r="A1003" s="28" t="s">
        <v>18</v>
      </c>
      <c r="B1003" s="23" t="s">
        <v>655</v>
      </c>
      <c r="C1003" s="19" t="s">
        <v>667</v>
      </c>
      <c r="D1003" s="23" t="s">
        <v>19</v>
      </c>
      <c r="E1003" s="29">
        <f>E1004</f>
        <v>11271500</v>
      </c>
      <c r="F1003" s="29">
        <f>F1004</f>
        <v>851000</v>
      </c>
      <c r="G1003" s="25">
        <f t="shared" si="44"/>
        <v>12122500</v>
      </c>
    </row>
    <row r="1004" spans="1:7" s="32" customFormat="1" ht="31.5">
      <c r="A1004" s="28" t="s">
        <v>20</v>
      </c>
      <c r="B1004" s="23" t="s">
        <v>655</v>
      </c>
      <c r="C1004" s="19" t="s">
        <v>667</v>
      </c>
      <c r="D1004" s="23" t="s">
        <v>21</v>
      </c>
      <c r="E1004" s="29">
        <v>11271500</v>
      </c>
      <c r="F1004" s="29">
        <v>851000</v>
      </c>
      <c r="G1004" s="25">
        <f t="shared" si="44"/>
        <v>12122500</v>
      </c>
    </row>
    <row r="1005" spans="1:7" s="32" customFormat="1" ht="31.5">
      <c r="A1005" s="30" t="s">
        <v>22</v>
      </c>
      <c r="B1005" s="23" t="s">
        <v>655</v>
      </c>
      <c r="C1005" s="19" t="s">
        <v>667</v>
      </c>
      <c r="D1005" s="23" t="s">
        <v>23</v>
      </c>
      <c r="E1005" s="29">
        <f>E1006</f>
        <v>500000</v>
      </c>
      <c r="F1005" s="29">
        <f>F1006</f>
        <v>578278.96</v>
      </c>
      <c r="G1005" s="25">
        <f t="shared" si="44"/>
        <v>1078278.96</v>
      </c>
    </row>
    <row r="1006" spans="1:7" s="32" customFormat="1" ht="31.5">
      <c r="A1006" s="30" t="s">
        <v>24</v>
      </c>
      <c r="B1006" s="23" t="s">
        <v>655</v>
      </c>
      <c r="C1006" s="19" t="s">
        <v>667</v>
      </c>
      <c r="D1006" s="23" t="s">
        <v>25</v>
      </c>
      <c r="E1006" s="29">
        <v>500000</v>
      </c>
      <c r="F1006" s="69">
        <f>98278.96+480000</f>
        <v>578278.96</v>
      </c>
      <c r="G1006" s="25">
        <f t="shared" si="44"/>
        <v>1078278.96</v>
      </c>
    </row>
    <row r="1007" spans="1:7" s="32" customFormat="1" ht="15.75">
      <c r="A1007" s="26" t="s">
        <v>12</v>
      </c>
      <c r="B1007" s="23" t="s">
        <v>655</v>
      </c>
      <c r="C1007" s="19" t="s">
        <v>13</v>
      </c>
      <c r="D1007" s="19"/>
      <c r="E1007" s="29">
        <f aca="true" t="shared" si="45" ref="E1007:F1010">E1008</f>
        <v>0</v>
      </c>
      <c r="F1007" s="29">
        <f t="shared" si="45"/>
        <v>938000</v>
      </c>
      <c r="G1007" s="25">
        <f t="shared" si="44"/>
        <v>938000</v>
      </c>
    </row>
    <row r="1008" spans="1:7" s="32" customFormat="1" ht="31.5">
      <c r="A1008" s="26" t="s">
        <v>14</v>
      </c>
      <c r="B1008" s="23" t="s">
        <v>655</v>
      </c>
      <c r="C1008" s="19" t="s">
        <v>15</v>
      </c>
      <c r="D1008" s="19"/>
      <c r="E1008" s="29">
        <f t="shared" si="45"/>
        <v>0</v>
      </c>
      <c r="F1008" s="29">
        <f t="shared" si="45"/>
        <v>938000</v>
      </c>
      <c r="G1008" s="25">
        <f t="shared" si="44"/>
        <v>938000</v>
      </c>
    </row>
    <row r="1009" spans="1:7" s="32" customFormat="1" ht="63">
      <c r="A1009" s="26" t="s">
        <v>48</v>
      </c>
      <c r="B1009" s="23" t="s">
        <v>655</v>
      </c>
      <c r="C1009" s="19" t="s">
        <v>49</v>
      </c>
      <c r="D1009" s="19"/>
      <c r="E1009" s="29">
        <f t="shared" si="45"/>
        <v>0</v>
      </c>
      <c r="F1009" s="29">
        <f t="shared" si="45"/>
        <v>938000</v>
      </c>
      <c r="G1009" s="25">
        <f t="shared" si="44"/>
        <v>938000</v>
      </c>
    </row>
    <row r="1010" spans="1:7" s="32" customFormat="1" ht="78.75">
      <c r="A1010" s="28" t="s">
        <v>18</v>
      </c>
      <c r="B1010" s="23" t="s">
        <v>655</v>
      </c>
      <c r="C1010" s="19" t="s">
        <v>49</v>
      </c>
      <c r="D1010" s="23" t="s">
        <v>19</v>
      </c>
      <c r="E1010" s="29">
        <f t="shared" si="45"/>
        <v>0</v>
      </c>
      <c r="F1010" s="29">
        <f t="shared" si="45"/>
        <v>938000</v>
      </c>
      <c r="G1010" s="25">
        <f t="shared" si="44"/>
        <v>938000</v>
      </c>
    </row>
    <row r="1011" spans="1:7" s="32" customFormat="1" ht="31.5">
      <c r="A1011" s="28" t="s">
        <v>20</v>
      </c>
      <c r="B1011" s="23" t="s">
        <v>655</v>
      </c>
      <c r="C1011" s="19" t="s">
        <v>49</v>
      </c>
      <c r="D1011" s="23" t="s">
        <v>21</v>
      </c>
      <c r="E1011" s="29">
        <v>0</v>
      </c>
      <c r="F1011" s="29">
        <v>938000</v>
      </c>
      <c r="G1011" s="25">
        <f t="shared" si="44"/>
        <v>938000</v>
      </c>
    </row>
    <row r="1012" spans="1:7" s="32" customFormat="1" ht="15.75">
      <c r="A1012" s="14" t="s">
        <v>668</v>
      </c>
      <c r="B1012" s="15" t="s">
        <v>669</v>
      </c>
      <c r="C1012" s="19"/>
      <c r="D1012" s="19"/>
      <c r="E1012" s="50">
        <f>SUM(E1028,E1013,E1036)</f>
        <v>133982580</v>
      </c>
      <c r="F1012" s="50">
        <f>SUM(F1028,F1013,F1036)</f>
        <v>8550000</v>
      </c>
      <c r="G1012" s="16">
        <f t="shared" si="44"/>
        <v>142532580</v>
      </c>
    </row>
    <row r="1013" spans="1:7" s="32" customFormat="1" ht="15.75">
      <c r="A1013" s="17" t="s">
        <v>670</v>
      </c>
      <c r="B1013" s="18" t="s">
        <v>671</v>
      </c>
      <c r="C1013" s="19"/>
      <c r="D1013" s="19"/>
      <c r="E1013" s="20">
        <f>E1014</f>
        <v>122082580</v>
      </c>
      <c r="F1013" s="20">
        <f>F1014</f>
        <v>700000</v>
      </c>
      <c r="G1013" s="21">
        <f t="shared" si="44"/>
        <v>122782580</v>
      </c>
    </row>
    <row r="1014" spans="1:7" s="13" customFormat="1" ht="31.5">
      <c r="A1014" s="26" t="s">
        <v>672</v>
      </c>
      <c r="B1014" s="23" t="s">
        <v>671</v>
      </c>
      <c r="C1014" s="19" t="s">
        <v>673</v>
      </c>
      <c r="D1014" s="19"/>
      <c r="E1014" s="24">
        <f>SUM(E1015,E1018,E1021,E1025)</f>
        <v>122082580</v>
      </c>
      <c r="F1014" s="24">
        <f>SUM(F1015,F1018,F1021,F1025)</f>
        <v>700000</v>
      </c>
      <c r="G1014" s="25">
        <f t="shared" si="44"/>
        <v>122782580</v>
      </c>
    </row>
    <row r="1015" spans="1:7" s="13" customFormat="1" ht="31.5">
      <c r="A1015" s="70" t="s">
        <v>674</v>
      </c>
      <c r="B1015" s="23" t="s">
        <v>671</v>
      </c>
      <c r="C1015" s="19" t="s">
        <v>675</v>
      </c>
      <c r="D1015" s="19"/>
      <c r="E1015" s="24">
        <f>E1016</f>
        <v>2400000</v>
      </c>
      <c r="F1015" s="24">
        <f>F1016</f>
        <v>-399000</v>
      </c>
      <c r="G1015" s="25">
        <f t="shared" si="44"/>
        <v>2001000</v>
      </c>
    </row>
    <row r="1016" spans="1:7" s="13" customFormat="1" ht="31.5">
      <c r="A1016" s="26" t="s">
        <v>103</v>
      </c>
      <c r="B1016" s="23" t="s">
        <v>671</v>
      </c>
      <c r="C1016" s="19" t="s">
        <v>675</v>
      </c>
      <c r="D1016" s="19">
        <v>600</v>
      </c>
      <c r="E1016" s="24">
        <f>E1017</f>
        <v>2400000</v>
      </c>
      <c r="F1016" s="24">
        <f>F1017</f>
        <v>-399000</v>
      </c>
      <c r="G1016" s="25">
        <f t="shared" si="44"/>
        <v>2001000</v>
      </c>
    </row>
    <row r="1017" spans="1:7" s="32" customFormat="1" ht="15.75">
      <c r="A1017" s="26" t="s">
        <v>365</v>
      </c>
      <c r="B1017" s="23" t="s">
        <v>671</v>
      </c>
      <c r="C1017" s="19" t="s">
        <v>675</v>
      </c>
      <c r="D1017" s="19">
        <v>620</v>
      </c>
      <c r="E1017" s="24">
        <v>2400000</v>
      </c>
      <c r="F1017" s="29">
        <f>-99000-300000</f>
        <v>-399000</v>
      </c>
      <c r="G1017" s="25">
        <f t="shared" si="44"/>
        <v>2001000</v>
      </c>
    </row>
    <row r="1018" spans="1:7" s="13" customFormat="1" ht="47.25">
      <c r="A1018" s="26" t="s">
        <v>676</v>
      </c>
      <c r="B1018" s="23" t="s">
        <v>671</v>
      </c>
      <c r="C1018" s="19" t="s">
        <v>677</v>
      </c>
      <c r="D1018" s="19"/>
      <c r="E1018" s="24">
        <f>E1019</f>
        <v>25000000</v>
      </c>
      <c r="F1018" s="24">
        <f>F1019</f>
        <v>2500000</v>
      </c>
      <c r="G1018" s="25">
        <f t="shared" si="44"/>
        <v>27500000</v>
      </c>
    </row>
    <row r="1019" spans="1:7" s="13" customFormat="1" ht="15.75">
      <c r="A1019" s="26" t="s">
        <v>26</v>
      </c>
      <c r="B1019" s="23" t="s">
        <v>671</v>
      </c>
      <c r="C1019" s="19" t="s">
        <v>677</v>
      </c>
      <c r="D1019" s="19">
        <v>800</v>
      </c>
      <c r="E1019" s="24">
        <f>E1020</f>
        <v>25000000</v>
      </c>
      <c r="F1019" s="24">
        <f>F1020</f>
        <v>2500000</v>
      </c>
      <c r="G1019" s="25">
        <f t="shared" si="44"/>
        <v>27500000</v>
      </c>
    </row>
    <row r="1020" spans="1:7" s="32" customFormat="1" ht="47.25">
      <c r="A1020" s="26" t="s">
        <v>207</v>
      </c>
      <c r="B1020" s="23" t="s">
        <v>671</v>
      </c>
      <c r="C1020" s="19" t="s">
        <v>677</v>
      </c>
      <c r="D1020" s="19">
        <v>810</v>
      </c>
      <c r="E1020" s="24">
        <v>25000000</v>
      </c>
      <c r="F1020" s="29">
        <v>2500000</v>
      </c>
      <c r="G1020" s="25">
        <f t="shared" si="44"/>
        <v>27500000</v>
      </c>
    </row>
    <row r="1021" spans="1:7" ht="31.5">
      <c r="A1021" s="26" t="s">
        <v>678</v>
      </c>
      <c r="B1021" s="23" t="s">
        <v>671</v>
      </c>
      <c r="C1021" s="19" t="s">
        <v>679</v>
      </c>
      <c r="D1021" s="19"/>
      <c r="E1021" s="24">
        <f>E1022</f>
        <v>94035268.89</v>
      </c>
      <c r="F1021" s="24">
        <f>F1022</f>
        <v>-1401000</v>
      </c>
      <c r="G1021" s="25">
        <f t="shared" si="44"/>
        <v>92634268.89</v>
      </c>
    </row>
    <row r="1022" spans="1:7" s="71" customFormat="1" ht="31.5">
      <c r="A1022" s="26" t="s">
        <v>103</v>
      </c>
      <c r="B1022" s="23" t="s">
        <v>671</v>
      </c>
      <c r="C1022" s="19" t="s">
        <v>679</v>
      </c>
      <c r="D1022" s="19">
        <v>600</v>
      </c>
      <c r="E1022" s="24">
        <f>SUM(E1023:E1024)</f>
        <v>94035268.89</v>
      </c>
      <c r="F1022" s="24">
        <f>SUM(F1023:F1024)</f>
        <v>-1401000</v>
      </c>
      <c r="G1022" s="25">
        <f t="shared" si="44"/>
        <v>92634268.89</v>
      </c>
    </row>
    <row r="1023" spans="1:7" s="71" customFormat="1" ht="15.75">
      <c r="A1023" s="26" t="s">
        <v>104</v>
      </c>
      <c r="B1023" s="23" t="s">
        <v>671</v>
      </c>
      <c r="C1023" s="19" t="s">
        <v>679</v>
      </c>
      <c r="D1023" s="19">
        <v>610</v>
      </c>
      <c r="E1023" s="24">
        <v>27000000</v>
      </c>
      <c r="F1023" s="29">
        <v>0</v>
      </c>
      <c r="G1023" s="25">
        <f t="shared" si="44"/>
        <v>27000000</v>
      </c>
    </row>
    <row r="1024" spans="1:7" s="71" customFormat="1" ht="15.75">
      <c r="A1024" s="26" t="s">
        <v>365</v>
      </c>
      <c r="B1024" s="23" t="s">
        <v>671</v>
      </c>
      <c r="C1024" s="19" t="s">
        <v>679</v>
      </c>
      <c r="D1024" s="19">
        <v>620</v>
      </c>
      <c r="E1024" s="24">
        <f>67100000-64731.11</f>
        <v>67035268.89</v>
      </c>
      <c r="F1024" s="29">
        <f>-3000000+99000+300000+800000+400000</f>
        <v>-1401000</v>
      </c>
      <c r="G1024" s="25">
        <f t="shared" si="44"/>
        <v>65634268.89</v>
      </c>
    </row>
    <row r="1025" spans="1:7" ht="78.75">
      <c r="A1025" s="26" t="s">
        <v>680</v>
      </c>
      <c r="B1025" s="23" t="s">
        <v>671</v>
      </c>
      <c r="C1025" s="19" t="s">
        <v>681</v>
      </c>
      <c r="D1025" s="19"/>
      <c r="E1025" s="24">
        <f>E1026</f>
        <v>647311.11</v>
      </c>
      <c r="F1025" s="24">
        <f>F1026</f>
        <v>0</v>
      </c>
      <c r="G1025" s="25">
        <f t="shared" si="44"/>
        <v>647311.11</v>
      </c>
    </row>
    <row r="1026" spans="1:7" s="71" customFormat="1" ht="31.5">
      <c r="A1026" s="26" t="s">
        <v>103</v>
      </c>
      <c r="B1026" s="23" t="s">
        <v>671</v>
      </c>
      <c r="C1026" s="19" t="s">
        <v>681</v>
      </c>
      <c r="D1026" s="19">
        <v>600</v>
      </c>
      <c r="E1026" s="24">
        <f>SUM(E1027:E1027)</f>
        <v>647311.11</v>
      </c>
      <c r="F1026" s="29">
        <v>0</v>
      </c>
      <c r="G1026" s="25">
        <f t="shared" si="44"/>
        <v>647311.11</v>
      </c>
    </row>
    <row r="1027" spans="1:7" s="71" customFormat="1" ht="15.75">
      <c r="A1027" s="26" t="s">
        <v>365</v>
      </c>
      <c r="B1027" s="23" t="s">
        <v>671</v>
      </c>
      <c r="C1027" s="19" t="s">
        <v>681</v>
      </c>
      <c r="D1027" s="19">
        <v>620</v>
      </c>
      <c r="E1027" s="24">
        <f>582580+64731.11</f>
        <v>647311.11</v>
      </c>
      <c r="F1027" s="29">
        <v>0</v>
      </c>
      <c r="G1027" s="25">
        <f t="shared" si="44"/>
        <v>647311.11</v>
      </c>
    </row>
    <row r="1028" spans="1:7" s="32" customFormat="1" ht="15.75">
      <c r="A1028" s="17" t="s">
        <v>682</v>
      </c>
      <c r="B1028" s="18" t="s">
        <v>683</v>
      </c>
      <c r="C1028" s="19"/>
      <c r="D1028" s="19"/>
      <c r="E1028" s="20">
        <f>E1029</f>
        <v>11900000</v>
      </c>
      <c r="F1028" s="20">
        <f>F1029</f>
        <v>6000000</v>
      </c>
      <c r="G1028" s="21">
        <f t="shared" si="44"/>
        <v>17900000</v>
      </c>
    </row>
    <row r="1029" spans="1:7" s="32" customFormat="1" ht="31.5">
      <c r="A1029" s="26" t="s">
        <v>672</v>
      </c>
      <c r="B1029" s="23" t="s">
        <v>683</v>
      </c>
      <c r="C1029" s="19" t="s">
        <v>673</v>
      </c>
      <c r="D1029" s="19"/>
      <c r="E1029" s="24">
        <f>SUM(E1030,E1033)</f>
        <v>11900000</v>
      </c>
      <c r="F1029" s="24">
        <f>SUM(F1030,F1033)</f>
        <v>6000000</v>
      </c>
      <c r="G1029" s="25">
        <f t="shared" si="44"/>
        <v>17900000</v>
      </c>
    </row>
    <row r="1030" spans="1:7" s="32" customFormat="1" ht="31.5">
      <c r="A1030" s="26" t="s">
        <v>684</v>
      </c>
      <c r="B1030" s="23" t="s">
        <v>683</v>
      </c>
      <c r="C1030" s="19" t="s">
        <v>685</v>
      </c>
      <c r="D1030" s="19"/>
      <c r="E1030" s="24">
        <f>E1031</f>
        <v>11900000</v>
      </c>
      <c r="F1030" s="24">
        <f>F1031</f>
        <v>-6007</v>
      </c>
      <c r="G1030" s="25">
        <f t="shared" si="44"/>
        <v>11893993</v>
      </c>
    </row>
    <row r="1031" spans="1:7" s="32" customFormat="1" ht="15.75">
      <c r="A1031" s="26" t="s">
        <v>26</v>
      </c>
      <c r="B1031" s="23" t="s">
        <v>683</v>
      </c>
      <c r="C1031" s="19" t="s">
        <v>685</v>
      </c>
      <c r="D1031" s="19">
        <v>800</v>
      </c>
      <c r="E1031" s="24">
        <f>E1032</f>
        <v>11900000</v>
      </c>
      <c r="F1031" s="24">
        <f>F1032</f>
        <v>-6007</v>
      </c>
      <c r="G1031" s="25">
        <f t="shared" si="44"/>
        <v>11893993</v>
      </c>
    </row>
    <row r="1032" spans="1:7" s="32" customFormat="1" ht="47.25">
      <c r="A1032" s="26" t="s">
        <v>207</v>
      </c>
      <c r="B1032" s="23" t="s">
        <v>683</v>
      </c>
      <c r="C1032" s="19" t="s">
        <v>685</v>
      </c>
      <c r="D1032" s="19">
        <v>810</v>
      </c>
      <c r="E1032" s="24">
        <v>11900000</v>
      </c>
      <c r="F1032" s="29">
        <v>-6007</v>
      </c>
      <c r="G1032" s="25">
        <f t="shared" si="44"/>
        <v>11893993</v>
      </c>
    </row>
    <row r="1033" spans="1:7" s="32" customFormat="1" ht="63">
      <c r="A1033" s="26" t="s">
        <v>686</v>
      </c>
      <c r="B1033" s="23" t="s">
        <v>683</v>
      </c>
      <c r="C1033" s="19" t="s">
        <v>685</v>
      </c>
      <c r="D1033" s="19"/>
      <c r="E1033" s="24">
        <f>E1034</f>
        <v>0</v>
      </c>
      <c r="F1033" s="24">
        <f>F1034</f>
        <v>6006007</v>
      </c>
      <c r="G1033" s="25">
        <f t="shared" si="44"/>
        <v>6006007</v>
      </c>
    </row>
    <row r="1034" spans="1:7" s="32" customFormat="1" ht="15.75">
      <c r="A1034" s="26" t="s">
        <v>26</v>
      </c>
      <c r="B1034" s="23" t="s">
        <v>683</v>
      </c>
      <c r="C1034" s="19" t="s">
        <v>685</v>
      </c>
      <c r="D1034" s="19">
        <v>800</v>
      </c>
      <c r="E1034" s="24">
        <f>E1035</f>
        <v>0</v>
      </c>
      <c r="F1034" s="24">
        <f>F1035</f>
        <v>6006007</v>
      </c>
      <c r="G1034" s="25">
        <f t="shared" si="44"/>
        <v>6006007</v>
      </c>
    </row>
    <row r="1035" spans="1:7" s="32" customFormat="1" ht="47.25">
      <c r="A1035" s="26" t="s">
        <v>207</v>
      </c>
      <c r="B1035" s="23" t="s">
        <v>683</v>
      </c>
      <c r="C1035" s="19" t="s">
        <v>685</v>
      </c>
      <c r="D1035" s="19">
        <v>810</v>
      </c>
      <c r="E1035" s="24"/>
      <c r="F1035" s="29">
        <f>6000000+6007</f>
        <v>6006007</v>
      </c>
      <c r="G1035" s="25">
        <f t="shared" si="44"/>
        <v>6006007</v>
      </c>
    </row>
    <row r="1036" spans="1:7" s="32" customFormat="1" ht="31.5">
      <c r="A1036" s="61" t="s">
        <v>687</v>
      </c>
      <c r="B1036" s="18" t="s">
        <v>688</v>
      </c>
      <c r="C1036" s="34"/>
      <c r="D1036" s="34"/>
      <c r="E1036" s="20">
        <f aca="true" t="shared" si="46" ref="E1036:F1039">E1037</f>
        <v>0</v>
      </c>
      <c r="F1036" s="20">
        <f t="shared" si="46"/>
        <v>1850000</v>
      </c>
      <c r="G1036" s="21">
        <f t="shared" si="44"/>
        <v>1850000</v>
      </c>
    </row>
    <row r="1037" spans="1:7" s="32" customFormat="1" ht="15.75">
      <c r="A1037" s="22" t="s">
        <v>12</v>
      </c>
      <c r="B1037" s="23" t="s">
        <v>688</v>
      </c>
      <c r="C1037" s="19" t="s">
        <v>13</v>
      </c>
      <c r="D1037" s="19"/>
      <c r="E1037" s="24">
        <f t="shared" si="46"/>
        <v>0</v>
      </c>
      <c r="F1037" s="24">
        <f t="shared" si="46"/>
        <v>1850000</v>
      </c>
      <c r="G1037" s="25">
        <f t="shared" si="44"/>
        <v>1850000</v>
      </c>
    </row>
    <row r="1038" spans="1:7" s="32" customFormat="1" ht="47.25">
      <c r="A1038" s="26" t="s">
        <v>50</v>
      </c>
      <c r="B1038" s="23" t="s">
        <v>688</v>
      </c>
      <c r="C1038" s="19" t="s">
        <v>51</v>
      </c>
      <c r="D1038" s="19"/>
      <c r="E1038" s="24">
        <f t="shared" si="46"/>
        <v>0</v>
      </c>
      <c r="F1038" s="24">
        <f t="shared" si="46"/>
        <v>1850000</v>
      </c>
      <c r="G1038" s="25">
        <f t="shared" si="44"/>
        <v>1850000</v>
      </c>
    </row>
    <row r="1039" spans="1:7" s="32" customFormat="1" ht="47.25">
      <c r="A1039" s="26" t="s">
        <v>689</v>
      </c>
      <c r="B1039" s="23" t="s">
        <v>688</v>
      </c>
      <c r="C1039" s="19" t="s">
        <v>690</v>
      </c>
      <c r="D1039" s="19"/>
      <c r="E1039" s="24">
        <f t="shared" si="46"/>
        <v>0</v>
      </c>
      <c r="F1039" s="24">
        <f t="shared" si="46"/>
        <v>1850000</v>
      </c>
      <c r="G1039" s="25">
        <f t="shared" si="44"/>
        <v>1850000</v>
      </c>
    </row>
    <row r="1040" spans="1:7" s="32" customFormat="1" ht="31.5">
      <c r="A1040" s="26" t="s">
        <v>103</v>
      </c>
      <c r="B1040" s="23" t="s">
        <v>688</v>
      </c>
      <c r="C1040" s="19" t="s">
        <v>690</v>
      </c>
      <c r="D1040" s="19">
        <v>600</v>
      </c>
      <c r="E1040" s="24">
        <f>E1041+E1042</f>
        <v>0</v>
      </c>
      <c r="F1040" s="24">
        <f>F1041+F1042</f>
        <v>1850000</v>
      </c>
      <c r="G1040" s="25">
        <f t="shared" si="44"/>
        <v>1850000</v>
      </c>
    </row>
    <row r="1041" spans="1:7" s="32" customFormat="1" ht="15.75">
      <c r="A1041" s="26" t="s">
        <v>104</v>
      </c>
      <c r="B1041" s="23" t="s">
        <v>688</v>
      </c>
      <c r="C1041" s="19" t="s">
        <v>690</v>
      </c>
      <c r="D1041" s="19">
        <v>610</v>
      </c>
      <c r="E1041" s="24">
        <v>0</v>
      </c>
      <c r="F1041" s="24">
        <v>1720000</v>
      </c>
      <c r="G1041" s="25">
        <f t="shared" si="44"/>
        <v>1720000</v>
      </c>
    </row>
    <row r="1042" spans="1:7" s="32" customFormat="1" ht="15.75">
      <c r="A1042" s="26" t="s">
        <v>365</v>
      </c>
      <c r="B1042" s="23" t="s">
        <v>688</v>
      </c>
      <c r="C1042" s="19" t="s">
        <v>690</v>
      </c>
      <c r="D1042" s="19">
        <v>620</v>
      </c>
      <c r="E1042" s="24">
        <v>0</v>
      </c>
      <c r="F1042" s="24">
        <v>130000</v>
      </c>
      <c r="G1042" s="25">
        <f t="shared" si="44"/>
        <v>130000</v>
      </c>
    </row>
    <row r="1043" spans="1:7" s="71" customFormat="1" ht="15.75">
      <c r="A1043" s="14" t="s">
        <v>691</v>
      </c>
      <c r="B1043" s="15" t="s">
        <v>692</v>
      </c>
      <c r="C1043" s="19"/>
      <c r="D1043" s="19"/>
      <c r="E1043" s="50">
        <f>SUM(E1050,E1044)</f>
        <v>3600000</v>
      </c>
      <c r="F1043" s="50">
        <f>SUM(F1050,F1044)</f>
        <v>0</v>
      </c>
      <c r="G1043" s="16">
        <f t="shared" si="44"/>
        <v>3600000</v>
      </c>
    </row>
    <row r="1044" spans="1:7" s="71" customFormat="1" ht="15.75">
      <c r="A1044" s="17" t="s">
        <v>693</v>
      </c>
      <c r="B1044" s="18" t="s">
        <v>694</v>
      </c>
      <c r="C1044" s="19"/>
      <c r="D1044" s="19"/>
      <c r="E1044" s="20">
        <f aca="true" t="shared" si="47" ref="E1044:F1048">E1045</f>
        <v>2550000</v>
      </c>
      <c r="F1044" s="20">
        <f t="shared" si="47"/>
        <v>0</v>
      </c>
      <c r="G1044" s="21">
        <f t="shared" si="44"/>
        <v>2550000</v>
      </c>
    </row>
    <row r="1045" spans="1:7" s="32" customFormat="1" ht="15.75">
      <c r="A1045" s="22" t="s">
        <v>12</v>
      </c>
      <c r="B1045" s="23" t="s">
        <v>694</v>
      </c>
      <c r="C1045" s="19" t="s">
        <v>13</v>
      </c>
      <c r="D1045" s="19"/>
      <c r="E1045" s="24">
        <f t="shared" si="47"/>
        <v>2550000</v>
      </c>
      <c r="F1045" s="24">
        <f t="shared" si="47"/>
        <v>0</v>
      </c>
      <c r="G1045" s="25">
        <f t="shared" si="44"/>
        <v>2550000</v>
      </c>
    </row>
    <row r="1046" spans="1:7" s="32" customFormat="1" ht="31.5">
      <c r="A1046" s="26" t="s">
        <v>67</v>
      </c>
      <c r="B1046" s="23" t="s">
        <v>694</v>
      </c>
      <c r="C1046" s="19" t="s">
        <v>68</v>
      </c>
      <c r="D1046" s="19"/>
      <c r="E1046" s="24">
        <f t="shared" si="47"/>
        <v>2550000</v>
      </c>
      <c r="F1046" s="24">
        <f t="shared" si="47"/>
        <v>0</v>
      </c>
      <c r="G1046" s="25">
        <f t="shared" si="44"/>
        <v>2550000</v>
      </c>
    </row>
    <row r="1047" spans="1:7" s="71" customFormat="1" ht="47.25">
      <c r="A1047" s="26" t="s">
        <v>695</v>
      </c>
      <c r="B1047" s="23" t="s">
        <v>694</v>
      </c>
      <c r="C1047" s="19" t="s">
        <v>696</v>
      </c>
      <c r="D1047" s="19"/>
      <c r="E1047" s="24">
        <f t="shared" si="47"/>
        <v>2550000</v>
      </c>
      <c r="F1047" s="24">
        <f t="shared" si="47"/>
        <v>0</v>
      </c>
      <c r="G1047" s="25">
        <f t="shared" si="44"/>
        <v>2550000</v>
      </c>
    </row>
    <row r="1048" spans="1:7" s="71" customFormat="1" ht="31.5">
      <c r="A1048" s="30" t="s">
        <v>22</v>
      </c>
      <c r="B1048" s="23" t="s">
        <v>694</v>
      </c>
      <c r="C1048" s="19" t="s">
        <v>696</v>
      </c>
      <c r="D1048" s="19">
        <v>200</v>
      </c>
      <c r="E1048" s="24">
        <f t="shared" si="47"/>
        <v>2550000</v>
      </c>
      <c r="F1048" s="24">
        <f t="shared" si="47"/>
        <v>0</v>
      </c>
      <c r="G1048" s="25">
        <f t="shared" si="44"/>
        <v>2550000</v>
      </c>
    </row>
    <row r="1049" spans="1:7" s="71" customFormat="1" ht="31.5">
      <c r="A1049" s="30" t="s">
        <v>24</v>
      </c>
      <c r="B1049" s="23" t="s">
        <v>694</v>
      </c>
      <c r="C1049" s="19" t="s">
        <v>696</v>
      </c>
      <c r="D1049" s="19">
        <v>240</v>
      </c>
      <c r="E1049" s="24">
        <v>2550000</v>
      </c>
      <c r="F1049" s="29">
        <v>0</v>
      </c>
      <c r="G1049" s="25">
        <f t="shared" si="44"/>
        <v>2550000</v>
      </c>
    </row>
    <row r="1050" spans="1:7" s="71" customFormat="1" ht="15.75">
      <c r="A1050" s="17" t="s">
        <v>697</v>
      </c>
      <c r="B1050" s="18" t="s">
        <v>698</v>
      </c>
      <c r="C1050" s="19"/>
      <c r="D1050" s="19"/>
      <c r="E1050" s="20">
        <f aca="true" t="shared" si="48" ref="E1050:F1054">E1051</f>
        <v>1050000</v>
      </c>
      <c r="F1050" s="20">
        <f t="shared" si="48"/>
        <v>0</v>
      </c>
      <c r="G1050" s="21">
        <f t="shared" si="44"/>
        <v>1050000</v>
      </c>
    </row>
    <row r="1051" spans="1:7" s="71" customFormat="1" ht="15.75">
      <c r="A1051" s="22" t="s">
        <v>12</v>
      </c>
      <c r="B1051" s="23" t="s">
        <v>698</v>
      </c>
      <c r="C1051" s="19" t="s">
        <v>13</v>
      </c>
      <c r="D1051" s="19"/>
      <c r="E1051" s="24">
        <f t="shared" si="48"/>
        <v>1050000</v>
      </c>
      <c r="F1051" s="24">
        <f t="shared" si="48"/>
        <v>0</v>
      </c>
      <c r="G1051" s="25">
        <f t="shared" si="44"/>
        <v>1050000</v>
      </c>
    </row>
    <row r="1052" spans="1:7" s="32" customFormat="1" ht="31.5">
      <c r="A1052" s="26" t="s">
        <v>67</v>
      </c>
      <c r="B1052" s="23" t="s">
        <v>698</v>
      </c>
      <c r="C1052" s="19" t="s">
        <v>68</v>
      </c>
      <c r="D1052" s="19"/>
      <c r="E1052" s="24">
        <f t="shared" si="48"/>
        <v>1050000</v>
      </c>
      <c r="F1052" s="24">
        <f t="shared" si="48"/>
        <v>0</v>
      </c>
      <c r="G1052" s="25">
        <f t="shared" si="44"/>
        <v>1050000</v>
      </c>
    </row>
    <row r="1053" spans="1:7" s="32" customFormat="1" ht="47.25">
      <c r="A1053" s="26" t="s">
        <v>695</v>
      </c>
      <c r="B1053" s="23" t="s">
        <v>698</v>
      </c>
      <c r="C1053" s="19" t="s">
        <v>696</v>
      </c>
      <c r="D1053" s="19"/>
      <c r="E1053" s="24">
        <f t="shared" si="48"/>
        <v>1050000</v>
      </c>
      <c r="F1053" s="24">
        <f t="shared" si="48"/>
        <v>0</v>
      </c>
      <c r="G1053" s="25">
        <f t="shared" si="44"/>
        <v>1050000</v>
      </c>
    </row>
    <row r="1054" spans="1:7" s="32" customFormat="1" ht="31.5">
      <c r="A1054" s="30" t="s">
        <v>22</v>
      </c>
      <c r="B1054" s="23" t="s">
        <v>698</v>
      </c>
      <c r="C1054" s="19" t="s">
        <v>696</v>
      </c>
      <c r="D1054" s="19">
        <v>200</v>
      </c>
      <c r="E1054" s="24">
        <f t="shared" si="48"/>
        <v>1050000</v>
      </c>
      <c r="F1054" s="24">
        <f t="shared" si="48"/>
        <v>0</v>
      </c>
      <c r="G1054" s="25">
        <f t="shared" si="44"/>
        <v>1050000</v>
      </c>
    </row>
    <row r="1055" spans="1:7" s="32" customFormat="1" ht="31.5">
      <c r="A1055" s="30" t="s">
        <v>24</v>
      </c>
      <c r="B1055" s="23" t="s">
        <v>698</v>
      </c>
      <c r="C1055" s="19" t="s">
        <v>696</v>
      </c>
      <c r="D1055" s="19">
        <v>240</v>
      </c>
      <c r="E1055" s="24">
        <v>1050000</v>
      </c>
      <c r="F1055" s="29">
        <v>0</v>
      </c>
      <c r="G1055" s="25">
        <f>SUM(E1055:F1055)</f>
        <v>1050000</v>
      </c>
    </row>
    <row r="1056" spans="1:7" s="32" customFormat="1" ht="31.5">
      <c r="A1056" s="14" t="s">
        <v>699</v>
      </c>
      <c r="B1056" s="15" t="s">
        <v>700</v>
      </c>
      <c r="C1056" s="19"/>
      <c r="D1056" s="19"/>
      <c r="E1056" s="50">
        <f aca="true" t="shared" si="49" ref="E1056:E1061">E1057</f>
        <v>25000000</v>
      </c>
      <c r="F1056" s="50">
        <f aca="true" t="shared" si="50" ref="F1056:F1061">F1057</f>
        <v>0</v>
      </c>
      <c r="G1056" s="16">
        <f>SUM(E1056:F1056)</f>
        <v>25000000</v>
      </c>
    </row>
    <row r="1057" spans="1:7" s="32" customFormat="1" ht="31.5">
      <c r="A1057" s="17" t="s">
        <v>701</v>
      </c>
      <c r="B1057" s="18" t="s">
        <v>702</v>
      </c>
      <c r="C1057" s="19"/>
      <c r="D1057" s="19"/>
      <c r="E1057" s="20">
        <f t="shared" si="49"/>
        <v>25000000</v>
      </c>
      <c r="F1057" s="20">
        <f t="shared" si="50"/>
        <v>0</v>
      </c>
      <c r="G1057" s="21">
        <f>SUM(E1057:F1057)</f>
        <v>25000000</v>
      </c>
    </row>
    <row r="1058" spans="1:7" s="32" customFormat="1" ht="15.75">
      <c r="A1058" s="22" t="s">
        <v>12</v>
      </c>
      <c r="B1058" s="23" t="s">
        <v>702</v>
      </c>
      <c r="C1058" s="19" t="s">
        <v>13</v>
      </c>
      <c r="D1058" s="19"/>
      <c r="E1058" s="24">
        <f t="shared" si="49"/>
        <v>25000000</v>
      </c>
      <c r="F1058" s="24">
        <f t="shared" si="50"/>
        <v>0</v>
      </c>
      <c r="G1058" s="25">
        <f>SUM(E1058:F1058)</f>
        <v>25000000</v>
      </c>
    </row>
    <row r="1059" spans="1:7" s="32" customFormat="1" ht="47.25">
      <c r="A1059" s="26" t="s">
        <v>703</v>
      </c>
      <c r="B1059" s="23" t="s">
        <v>702</v>
      </c>
      <c r="C1059" s="19" t="s">
        <v>68</v>
      </c>
      <c r="D1059" s="19"/>
      <c r="E1059" s="24">
        <f t="shared" si="49"/>
        <v>25000000</v>
      </c>
      <c r="F1059" s="24">
        <f t="shared" si="50"/>
        <v>0</v>
      </c>
      <c r="G1059" s="25">
        <f>SUM(E1059:F1059)</f>
        <v>25000000</v>
      </c>
    </row>
    <row r="1060" spans="1:7" s="32" customFormat="1" ht="15.75">
      <c r="A1060" s="26" t="s">
        <v>704</v>
      </c>
      <c r="B1060" s="23" t="s">
        <v>702</v>
      </c>
      <c r="C1060" s="19" t="s">
        <v>705</v>
      </c>
      <c r="D1060" s="19"/>
      <c r="E1060" s="24">
        <f t="shared" si="49"/>
        <v>25000000</v>
      </c>
      <c r="F1060" s="24">
        <f t="shared" si="50"/>
        <v>0</v>
      </c>
      <c r="G1060" s="25">
        <f>SUM(E1060:F1060)</f>
        <v>25000000</v>
      </c>
    </row>
    <row r="1061" spans="1:7" s="32" customFormat="1" ht="15.75">
      <c r="A1061" s="26" t="s">
        <v>706</v>
      </c>
      <c r="B1061" s="23" t="s">
        <v>702</v>
      </c>
      <c r="C1061" s="19" t="s">
        <v>705</v>
      </c>
      <c r="D1061" s="19">
        <v>700</v>
      </c>
      <c r="E1061" s="24">
        <f t="shared" si="49"/>
        <v>25000000</v>
      </c>
      <c r="F1061" s="24">
        <f t="shared" si="50"/>
        <v>0</v>
      </c>
      <c r="G1061" s="25">
        <f>SUM(E1061:F1061)</f>
        <v>25000000</v>
      </c>
    </row>
    <row r="1062" spans="1:7" s="32" customFormat="1" ht="15.75">
      <c r="A1062" s="26" t="s">
        <v>707</v>
      </c>
      <c r="B1062" s="23" t="s">
        <v>702</v>
      </c>
      <c r="C1062" s="19" t="s">
        <v>705</v>
      </c>
      <c r="D1062" s="19">
        <v>730</v>
      </c>
      <c r="E1062" s="24">
        <f>30000000-5000000</f>
        <v>25000000</v>
      </c>
      <c r="F1062" s="29">
        <v>0</v>
      </c>
      <c r="G1062" s="25">
        <f>SUM(E1062:F1062)</f>
        <v>25000000</v>
      </c>
    </row>
    <row r="1063" spans="1:7" s="32" customFormat="1" ht="47.25">
      <c r="A1063" s="72" t="s">
        <v>708</v>
      </c>
      <c r="B1063" s="15" t="s">
        <v>709</v>
      </c>
      <c r="C1063" s="66"/>
      <c r="D1063" s="66"/>
      <c r="E1063" s="50">
        <f aca="true" t="shared" si="51" ref="E1063:E1068">E1064</f>
        <v>36299382.42</v>
      </c>
      <c r="F1063" s="50">
        <f aca="true" t="shared" si="52" ref="F1063:F1068">F1064</f>
        <v>141341.58</v>
      </c>
      <c r="G1063" s="16">
        <f>SUM(E1063:F1063)</f>
        <v>36440724</v>
      </c>
    </row>
    <row r="1064" spans="1:7" s="32" customFormat="1" ht="31.5">
      <c r="A1064" s="33" t="s">
        <v>710</v>
      </c>
      <c r="B1064" s="18" t="s">
        <v>711</v>
      </c>
      <c r="C1064" s="34"/>
      <c r="D1064" s="34"/>
      <c r="E1064" s="20">
        <f t="shared" si="51"/>
        <v>36299382.42</v>
      </c>
      <c r="F1064" s="20">
        <f t="shared" si="52"/>
        <v>141341.58</v>
      </c>
      <c r="G1064" s="21">
        <f>SUM(E1064:F1064)</f>
        <v>36440724</v>
      </c>
    </row>
    <row r="1065" spans="1:7" s="32" customFormat="1" ht="15.75">
      <c r="A1065" s="22" t="s">
        <v>12</v>
      </c>
      <c r="B1065" s="23" t="s">
        <v>711</v>
      </c>
      <c r="C1065" s="19" t="s">
        <v>13</v>
      </c>
      <c r="D1065" s="19"/>
      <c r="E1065" s="24">
        <f t="shared" si="51"/>
        <v>36299382.42</v>
      </c>
      <c r="F1065" s="24">
        <f t="shared" si="52"/>
        <v>141341.58</v>
      </c>
      <c r="G1065" s="25">
        <f>SUM(E1065:F1065)</f>
        <v>36440724</v>
      </c>
    </row>
    <row r="1066" spans="1:7" s="32" customFormat="1" ht="47.25">
      <c r="A1066" s="30" t="s">
        <v>712</v>
      </c>
      <c r="B1066" s="23" t="s">
        <v>711</v>
      </c>
      <c r="C1066" s="19" t="s">
        <v>713</v>
      </c>
      <c r="D1066" s="19"/>
      <c r="E1066" s="24">
        <f t="shared" si="51"/>
        <v>36299382.42</v>
      </c>
      <c r="F1066" s="24">
        <f t="shared" si="52"/>
        <v>141341.58</v>
      </c>
      <c r="G1066" s="25">
        <f>SUM(E1066:F1066)</f>
        <v>36440724</v>
      </c>
    </row>
    <row r="1067" spans="1:7" s="32" customFormat="1" ht="47.25">
      <c r="A1067" s="30" t="s">
        <v>714</v>
      </c>
      <c r="B1067" s="23" t="s">
        <v>711</v>
      </c>
      <c r="C1067" s="19" t="s">
        <v>715</v>
      </c>
      <c r="D1067" s="19"/>
      <c r="E1067" s="24">
        <f t="shared" si="51"/>
        <v>36299382.42</v>
      </c>
      <c r="F1067" s="24">
        <f t="shared" si="52"/>
        <v>141341.58</v>
      </c>
      <c r="G1067" s="25">
        <f>SUM(E1067:F1067)</f>
        <v>36440724</v>
      </c>
    </row>
    <row r="1068" spans="1:7" s="32" customFormat="1" ht="15.75">
      <c r="A1068" s="30" t="s">
        <v>716</v>
      </c>
      <c r="B1068" s="23" t="s">
        <v>711</v>
      </c>
      <c r="C1068" s="19" t="s">
        <v>715</v>
      </c>
      <c r="D1068" s="19">
        <v>500</v>
      </c>
      <c r="E1068" s="24">
        <f t="shared" si="51"/>
        <v>36299382.42</v>
      </c>
      <c r="F1068" s="24">
        <f t="shared" si="52"/>
        <v>141341.58</v>
      </c>
      <c r="G1068" s="25">
        <f>SUM(E1068:F1068)</f>
        <v>36440724</v>
      </c>
    </row>
    <row r="1069" spans="1:7" s="32" customFormat="1" ht="15.75">
      <c r="A1069" s="30" t="s">
        <v>717</v>
      </c>
      <c r="B1069" s="23" t="s">
        <v>711</v>
      </c>
      <c r="C1069" s="19" t="s">
        <v>715</v>
      </c>
      <c r="D1069" s="19">
        <v>540</v>
      </c>
      <c r="E1069" s="24">
        <v>36299382.42</v>
      </c>
      <c r="F1069" s="29">
        <f>141342-0.42</f>
        <v>141341.58</v>
      </c>
      <c r="G1069" s="25">
        <f>SUM(E1069:F1069)</f>
        <v>36440724</v>
      </c>
    </row>
    <row r="1070" spans="1:7" ht="16.5">
      <c r="A1070" s="73" t="s">
        <v>718</v>
      </c>
      <c r="B1070" s="74"/>
      <c r="C1070" s="75"/>
      <c r="D1070" s="74"/>
      <c r="E1070" s="76">
        <f>SUM(E7,E231,E264,E375,E531,E717,E811,E1012,E1043,E1056,E1063)</f>
        <v>6845134171.81</v>
      </c>
      <c r="F1070" s="76">
        <f>SUM(F7,F231,F264,F375,F531,F717,F811,F1012,F1043,F1056,F1063)</f>
        <v>280759788.77000004</v>
      </c>
      <c r="G1070" s="16">
        <f>SUM(E1070:F1070)</f>
        <v>7125893960.580001</v>
      </c>
    </row>
    <row r="1076" s="77" customFormat="1" ht="19.5"/>
  </sheetData>
  <sheetProtection selectLockedCells="1" selectUnlockedCells="1"/>
  <mergeCells count="3">
    <mergeCell ref="E1:G1"/>
    <mergeCell ref="E2:G2"/>
    <mergeCell ref="A4:G4"/>
  </mergeCells>
  <printOptions/>
  <pageMargins left="0.8" right="0.4097222222222222" top="0.5298611111111111" bottom="0.38125" header="0.5118055555555555" footer="0.1597222222222222"/>
  <pageSetup firstPageNumber="4"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dcterms:created xsi:type="dcterms:W3CDTF">2020-12-22T13:37:26Z</dcterms:created>
  <dcterms:modified xsi:type="dcterms:W3CDTF">2020-12-28T11:35:59Z</dcterms:modified>
  <cp:category/>
  <cp:version/>
  <cp:contentType/>
  <cp:contentStatus/>
</cp:coreProperties>
</file>